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JML\Travail JML\Cours\Master SIP\Administratif\Phase 2 Master SIP\"/>
    </mc:Choice>
  </mc:AlternateContent>
  <xr:revisionPtr revIDLastSave="0" documentId="13_ncr:1_{8E147406-C113-481C-8B6D-E58458AC3A81}" xr6:coauthVersionLast="47" xr6:coauthVersionMax="47" xr10:uidLastSave="{00000000-0000-0000-0000-000000000000}"/>
  <bookViews>
    <workbookView xWindow="-120" yWindow="-120" windowWidth="20730" windowHeight="11160" tabRatio="773" xr2:uid="{00000000-000D-0000-FFFF-FFFF00000000}"/>
  </bookViews>
  <sheets>
    <sheet name="MAQUETTE MS PARCOURS PCTM" sheetId="1" r:id="rId1"/>
    <sheet name="MAQUETTE APOGEE SIP" sheetId="6" r:id="rId2"/>
    <sheet name="COEF M1 - SIP" sheetId="3" r:id="rId3"/>
    <sheet name="COEF M2- SIP" sheetId="5" r:id="rId4"/>
    <sheet name="RNCP-MAQUETTE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5" l="1"/>
  <c r="H15" i="5"/>
  <c r="I15" i="5"/>
  <c r="C54" i="6"/>
  <c r="G15" i="5"/>
  <c r="F15" i="5"/>
  <c r="M2" i="5"/>
  <c r="L2" i="5"/>
  <c r="J2" i="5"/>
  <c r="I2" i="5"/>
  <c r="H2" i="5"/>
  <c r="G2" i="5"/>
  <c r="F2" i="5"/>
  <c r="M15" i="3"/>
  <c r="C27" i="6"/>
  <c r="L15" i="3"/>
  <c r="K15" i="3"/>
  <c r="J15" i="3"/>
  <c r="I15" i="3"/>
  <c r="H15" i="3"/>
  <c r="G15" i="3"/>
  <c r="F15" i="3"/>
  <c r="C20" i="6"/>
  <c r="L2" i="3"/>
  <c r="K2" i="3"/>
  <c r="J2" i="3"/>
  <c r="H2" i="3"/>
  <c r="C11" i="6"/>
  <c r="C10" i="6"/>
  <c r="C9" i="6"/>
  <c r="F2" i="3"/>
  <c r="C7" i="6"/>
  <c r="G2" i="3"/>
  <c r="I2" i="3"/>
  <c r="F8" i="3"/>
  <c r="G8" i="3"/>
  <c r="H8" i="3"/>
  <c r="I8" i="3"/>
  <c r="J8" i="3"/>
  <c r="K8" i="3"/>
  <c r="L8" i="3"/>
  <c r="M8" i="3"/>
  <c r="N40" i="6" l="1"/>
  <c r="N55" i="6"/>
  <c r="N56" i="6"/>
  <c r="O55" i="6"/>
  <c r="O56" i="6"/>
  <c r="O54" i="6"/>
  <c r="L56" i="6"/>
  <c r="L55" i="6"/>
  <c r="L54" i="6"/>
  <c r="N7" i="5"/>
  <c r="C56" i="6"/>
  <c r="D56" i="6" s="1"/>
  <c r="E56" i="6" s="1"/>
  <c r="C55" i="6"/>
  <c r="J57" i="6"/>
  <c r="I57" i="6"/>
  <c r="H57" i="6"/>
  <c r="H58" i="6" s="1"/>
  <c r="E57" i="6"/>
  <c r="G56" i="6"/>
  <c r="N54" i="6"/>
  <c r="G54" i="6"/>
  <c r="D54" i="6"/>
  <c r="E54" i="6" s="1"/>
  <c r="O53" i="6"/>
  <c r="N53" i="6"/>
  <c r="L53" i="6"/>
  <c r="G53" i="6"/>
  <c r="C53" i="6"/>
  <c r="D53" i="6" s="1"/>
  <c r="E53" i="6" s="1"/>
  <c r="O52" i="6"/>
  <c r="O57" i="6" s="1"/>
  <c r="N52" i="6"/>
  <c r="L52" i="6"/>
  <c r="G52" i="6"/>
  <c r="C52" i="6"/>
  <c r="D52" i="6" s="1"/>
  <c r="E52" i="6" s="1"/>
  <c r="J45" i="6"/>
  <c r="I45" i="6"/>
  <c r="H45" i="6"/>
  <c r="E45" i="6"/>
  <c r="O44" i="6"/>
  <c r="N44" i="6"/>
  <c r="L44" i="6"/>
  <c r="G44" i="6"/>
  <c r="C44" i="6"/>
  <c r="D44" i="6" s="1"/>
  <c r="E44" i="6" s="1"/>
  <c r="O43" i="6"/>
  <c r="N43" i="6"/>
  <c r="L43" i="6"/>
  <c r="G43" i="6"/>
  <c r="C43" i="6"/>
  <c r="D43" i="6" s="1"/>
  <c r="E43" i="6" s="1"/>
  <c r="O42" i="6"/>
  <c r="N42" i="6"/>
  <c r="L42" i="6"/>
  <c r="G42" i="6"/>
  <c r="D42" i="6"/>
  <c r="E42" i="6" s="1"/>
  <c r="O41" i="6"/>
  <c r="N41" i="6"/>
  <c r="L41" i="6"/>
  <c r="G41" i="6"/>
  <c r="C41" i="6"/>
  <c r="D41" i="6" s="1"/>
  <c r="E41" i="6" s="1"/>
  <c r="O40" i="6"/>
  <c r="L40" i="6"/>
  <c r="G40" i="6"/>
  <c r="D40" i="6"/>
  <c r="E40" i="6" s="1"/>
  <c r="C40" i="6"/>
  <c r="O39" i="6"/>
  <c r="N39" i="6"/>
  <c r="L39" i="6"/>
  <c r="G39" i="6"/>
  <c r="C39" i="6"/>
  <c r="D39" i="6" s="1"/>
  <c r="E39" i="6" s="1"/>
  <c r="O38" i="6"/>
  <c r="N38" i="6"/>
  <c r="L38" i="6"/>
  <c r="G38" i="6"/>
  <c r="C38" i="6"/>
  <c r="D38" i="6" s="1"/>
  <c r="E38" i="6" s="1"/>
  <c r="O37" i="6"/>
  <c r="N37" i="6"/>
  <c r="L37" i="6"/>
  <c r="G37" i="6"/>
  <c r="C37" i="6"/>
  <c r="D37" i="6" s="1"/>
  <c r="E37" i="6" s="1"/>
  <c r="J28" i="6"/>
  <c r="I28" i="6"/>
  <c r="H29" i="6" s="1"/>
  <c r="H28" i="6"/>
  <c r="E28" i="6"/>
  <c r="O27" i="6"/>
  <c r="N27" i="6"/>
  <c r="L27" i="6"/>
  <c r="G27" i="6"/>
  <c r="D27" i="6"/>
  <c r="E27" i="6" s="1"/>
  <c r="O26" i="6"/>
  <c r="N26" i="6"/>
  <c r="L26" i="6"/>
  <c r="G26" i="6"/>
  <c r="C26" i="6"/>
  <c r="D26" i="6" s="1"/>
  <c r="E26" i="6" s="1"/>
  <c r="O25" i="6"/>
  <c r="N25" i="6"/>
  <c r="L25" i="6"/>
  <c r="G25" i="6"/>
  <c r="C25" i="6"/>
  <c r="D25" i="6" s="1"/>
  <c r="E25" i="6" s="1"/>
  <c r="O24" i="6"/>
  <c r="N24" i="6"/>
  <c r="L24" i="6"/>
  <c r="G24" i="6"/>
  <c r="C24" i="6"/>
  <c r="D24" i="6" s="1"/>
  <c r="E24" i="6" s="1"/>
  <c r="O23" i="6"/>
  <c r="N23" i="6"/>
  <c r="L23" i="6"/>
  <c r="G23" i="6"/>
  <c r="C23" i="6"/>
  <c r="D23" i="6" s="1"/>
  <c r="E23" i="6" s="1"/>
  <c r="O22" i="6"/>
  <c r="N22" i="6"/>
  <c r="L22" i="6"/>
  <c r="G22" i="6"/>
  <c r="C22" i="6"/>
  <c r="D22" i="6" s="1"/>
  <c r="E22" i="6" s="1"/>
  <c r="O21" i="6"/>
  <c r="N21" i="6"/>
  <c r="L21" i="6"/>
  <c r="G21" i="6"/>
  <c r="C21" i="6"/>
  <c r="D21" i="6" s="1"/>
  <c r="E21" i="6" s="1"/>
  <c r="O20" i="6"/>
  <c r="N20" i="6"/>
  <c r="L20" i="6"/>
  <c r="G20" i="6"/>
  <c r="D20" i="6"/>
  <c r="E20" i="6" s="1"/>
  <c r="J14" i="6"/>
  <c r="I14" i="6"/>
  <c r="H14" i="6"/>
  <c r="G14" i="6"/>
  <c r="E14" i="6"/>
  <c r="O13" i="6"/>
  <c r="N13" i="6"/>
  <c r="L13" i="6"/>
  <c r="G13" i="6"/>
  <c r="C13" i="6"/>
  <c r="D13" i="6" s="1"/>
  <c r="E13" i="6" s="1"/>
  <c r="O12" i="6"/>
  <c r="N12" i="6"/>
  <c r="L12" i="6"/>
  <c r="G12" i="6"/>
  <c r="C12" i="6"/>
  <c r="D12" i="6" s="1"/>
  <c r="E12" i="6" s="1"/>
  <c r="O11" i="6"/>
  <c r="N11" i="6"/>
  <c r="L11" i="6"/>
  <c r="G11" i="6"/>
  <c r="D11" i="6"/>
  <c r="E11" i="6" s="1"/>
  <c r="O10" i="6"/>
  <c r="N10" i="6"/>
  <c r="L10" i="6"/>
  <c r="G10" i="6"/>
  <c r="D10" i="6"/>
  <c r="E10" i="6" s="1"/>
  <c r="O9" i="6"/>
  <c r="N9" i="6"/>
  <c r="L9" i="6"/>
  <c r="G9" i="6"/>
  <c r="D9" i="6"/>
  <c r="E9" i="6" s="1"/>
  <c r="O8" i="6"/>
  <c r="N8" i="6"/>
  <c r="L8" i="6"/>
  <c r="G8" i="6"/>
  <c r="C8" i="6"/>
  <c r="D8" i="6" s="1"/>
  <c r="E8" i="6" s="1"/>
  <c r="O7" i="6"/>
  <c r="N7" i="6"/>
  <c r="L7" i="6"/>
  <c r="G7" i="6"/>
  <c r="D7" i="6"/>
  <c r="E7" i="6" s="1"/>
  <c r="M21" i="5"/>
  <c r="L21" i="5"/>
  <c r="K21" i="5"/>
  <c r="J21" i="5"/>
  <c r="I21" i="5"/>
  <c r="G21" i="5"/>
  <c r="F21" i="5"/>
  <c r="N20" i="5"/>
  <c r="O20" i="5" s="1"/>
  <c r="N19" i="5"/>
  <c r="O19" i="5" s="1"/>
  <c r="N18" i="5"/>
  <c r="N16" i="5"/>
  <c r="M8" i="5"/>
  <c r="L8" i="5"/>
  <c r="K8" i="5"/>
  <c r="J8" i="5"/>
  <c r="I8" i="5"/>
  <c r="H8" i="5"/>
  <c r="G8" i="5"/>
  <c r="F8" i="5"/>
  <c r="O7" i="5"/>
  <c r="N6" i="5"/>
  <c r="O6" i="5" s="1"/>
  <c r="N5" i="5"/>
  <c r="O5" i="5" s="1"/>
  <c r="N3" i="5"/>
  <c r="O23" i="3"/>
  <c r="M7" i="1"/>
  <c r="M16" i="1" s="1"/>
  <c r="J15" i="1"/>
  <c r="J12" i="1"/>
  <c r="J7" i="1"/>
  <c r="G15" i="1"/>
  <c r="G12" i="1"/>
  <c r="D12" i="1"/>
  <c r="D15" i="1"/>
  <c r="D7" i="1"/>
  <c r="I7" i="1"/>
  <c r="C7" i="1"/>
  <c r="O28" i="6" l="1"/>
  <c r="N57" i="6"/>
  <c r="L57" i="6"/>
  <c r="L28" i="6"/>
  <c r="N45" i="6"/>
  <c r="N28" i="6"/>
  <c r="N14" i="6"/>
  <c r="H46" i="6"/>
  <c r="L45" i="6"/>
  <c r="L58" i="6" s="1"/>
  <c r="O45" i="6"/>
  <c r="H15" i="6"/>
  <c r="L14" i="6"/>
  <c r="L29" i="6" s="1"/>
  <c r="O14" i="6"/>
  <c r="N21" i="5"/>
  <c r="O21" i="5" s="1"/>
  <c r="N23" i="5"/>
  <c r="O23" i="5" s="1"/>
  <c r="O18" i="5"/>
  <c r="N8" i="5"/>
  <c r="O8" i="5" s="1"/>
  <c r="J16" i="1"/>
  <c r="G16" i="1"/>
  <c r="D16" i="1"/>
  <c r="N60" i="6" l="1"/>
  <c r="O60" i="6"/>
  <c r="L60" i="6"/>
  <c r="C12" i="1"/>
  <c r="L12" i="1"/>
  <c r="L15" i="1"/>
  <c r="L7" i="1"/>
  <c r="M21" i="3"/>
  <c r="L21" i="3"/>
  <c r="K21" i="3"/>
  <c r="J21" i="3"/>
  <c r="I21" i="3"/>
  <c r="G21" i="3"/>
  <c r="F21" i="3"/>
  <c r="N20" i="3"/>
  <c r="O20" i="3" s="1"/>
  <c r="N19" i="3"/>
  <c r="O19" i="3" s="1"/>
  <c r="N18" i="3"/>
  <c r="N16" i="3"/>
  <c r="N7" i="3"/>
  <c r="N6" i="3"/>
  <c r="O6" i="3" s="1"/>
  <c r="N5" i="3"/>
  <c r="O5" i="3" s="1"/>
  <c r="N3" i="3"/>
  <c r="I15" i="1"/>
  <c r="F15" i="1"/>
  <c r="C15" i="1"/>
  <c r="F12" i="1"/>
  <c r="I12" i="1"/>
  <c r="F7" i="1"/>
  <c r="C16" i="1" l="1"/>
  <c r="N23" i="3"/>
  <c r="I16" i="1"/>
  <c r="F16" i="1"/>
  <c r="L16" i="1"/>
  <c r="C18" i="1"/>
  <c r="C19" i="1"/>
  <c r="N21" i="3"/>
  <c r="O21" i="3" s="1"/>
  <c r="C20" i="1"/>
  <c r="N8" i="3"/>
  <c r="O8" i="3" s="1"/>
  <c r="O7" i="3"/>
  <c r="O18" i="3"/>
  <c r="C21" i="1" l="1"/>
</calcChain>
</file>

<file path=xl/sharedStrings.xml><?xml version="1.0" encoding="utf-8"?>
<sst xmlns="http://schemas.openxmlformats.org/spreadsheetml/2006/main" count="287" uniqueCount="158">
  <si>
    <t>MASTER Mgt. Sectoriel</t>
  </si>
  <si>
    <t>h/etu</t>
  </si>
  <si>
    <t>ECTS</t>
  </si>
  <si>
    <t>Gestion de projet</t>
  </si>
  <si>
    <t>BCC 1 - Analyser</t>
  </si>
  <si>
    <t>BCC 2 - Concevoir</t>
  </si>
  <si>
    <t>BCC 3 - Piloter</t>
  </si>
  <si>
    <t>MASTER Management Sectoriel</t>
  </si>
  <si>
    <t>Code CNU : limité à 2 codes - pourcentage à préciser</t>
  </si>
  <si>
    <t>Répartition du volume horaire</t>
  </si>
  <si>
    <t>MASTER 1 - SEMESTRE 1</t>
  </si>
  <si>
    <t>Code Apogée</t>
  </si>
  <si>
    <t>Code CNU</t>
  </si>
  <si>
    <t>Libellé Complet Programme</t>
  </si>
  <si>
    <r>
      <t xml:space="preserve">Libellé long Apogée </t>
    </r>
    <r>
      <rPr>
        <b/>
        <sz val="9"/>
        <color theme="1"/>
        <rFont val="Liberation Sans"/>
        <family val="2"/>
      </rPr>
      <t>limité à 60 caractère code PPN compris</t>
    </r>
  </si>
  <si>
    <t>Nb carac.</t>
  </si>
  <si>
    <r>
      <t xml:space="preserve">Libellé COURT Apogée </t>
    </r>
    <r>
      <rPr>
        <b/>
        <sz val="9"/>
        <color theme="1"/>
        <rFont val="Liberation Sans"/>
        <family val="2"/>
      </rPr>
      <t>limité à 25 caractère code PPN compris</t>
    </r>
  </si>
  <si>
    <t>CM</t>
  </si>
  <si>
    <t>TD</t>
  </si>
  <si>
    <t>S1</t>
  </si>
  <si>
    <t>MASTER 1 - SEMESTRE 2</t>
  </si>
  <si>
    <t>S2</t>
  </si>
  <si>
    <t>MASTER 2 - SEMESTRE 3</t>
  </si>
  <si>
    <t>MASTER 2 - SEMESTRE 4</t>
  </si>
  <si>
    <t>S4</t>
  </si>
  <si>
    <t>Coefficients / UE</t>
  </si>
  <si>
    <t>Bloc de Compétences 1</t>
  </si>
  <si>
    <t>UE1.1 Analyser</t>
  </si>
  <si>
    <t>UE 1.1</t>
  </si>
  <si>
    <t>Bloc de Compétences 2</t>
  </si>
  <si>
    <t>UE 1.2</t>
  </si>
  <si>
    <t>Bloc de Compétences 3</t>
  </si>
  <si>
    <t>UE 1.3</t>
  </si>
  <si>
    <t>BBC 1</t>
  </si>
  <si>
    <t>BCC1 Analyser</t>
  </si>
  <si>
    <t>BBC 2</t>
  </si>
  <si>
    <t>BBC 3</t>
  </si>
  <si>
    <t>UE2.1 Analyser</t>
  </si>
  <si>
    <t>UE 2.1</t>
  </si>
  <si>
    <t>UE 2.2</t>
  </si>
  <si>
    <t>UE 2.3</t>
  </si>
  <si>
    <t>UE3.1 Analyser</t>
  </si>
  <si>
    <t>UE 3.1</t>
  </si>
  <si>
    <t>UE 3.2</t>
  </si>
  <si>
    <t>UE 3.3</t>
  </si>
  <si>
    <t>UE4.1 Analyser</t>
  </si>
  <si>
    <t>UE 4.1</t>
  </si>
  <si>
    <t>UE 4.2</t>
  </si>
  <si>
    <t>UE 4.3</t>
  </si>
  <si>
    <t>HETD Pacôme</t>
  </si>
  <si>
    <t xml:space="preserve">Total M1 </t>
  </si>
  <si>
    <t>Total M2</t>
  </si>
  <si>
    <t>Total Master</t>
  </si>
  <si>
    <t>Pacours SIP</t>
  </si>
  <si>
    <t>BCC 2 - Innover</t>
  </si>
  <si>
    <t>Smart modelisation</t>
  </si>
  <si>
    <t>BCC 3 - Prototyper</t>
  </si>
  <si>
    <t>MASTER 1 Semestre 1</t>
  </si>
  <si>
    <t>MASTER 1 Semestre 2</t>
  </si>
  <si>
    <t>MASTER 2 Semestre 3</t>
  </si>
  <si>
    <t>MASTER 2 Semestre 4</t>
  </si>
  <si>
    <t>6,6 semaines</t>
  </si>
  <si>
    <t>7,4 semaines</t>
  </si>
  <si>
    <t>6,1 semaines</t>
  </si>
  <si>
    <t>5,5 semaines</t>
  </si>
  <si>
    <t>Parcours "Smart Innovation et Prototypage" - MASTER 1</t>
  </si>
  <si>
    <t>ECUE 2.11 Smart Modelisation</t>
  </si>
  <si>
    <t>Intelligence artificielle pour l'innovation</t>
  </si>
  <si>
    <t>ECUE 2.12 IA</t>
  </si>
  <si>
    <t>ECUE 3.11 Design 1</t>
  </si>
  <si>
    <t>ECUE 3.12 Paramétrisation</t>
  </si>
  <si>
    <t>Semestre 1 Smart innovation et Prototypage</t>
  </si>
  <si>
    <t>Semestre 2 Smart innovation et Prototypage</t>
  </si>
  <si>
    <t>ECUE 1.21 Gest. projet</t>
  </si>
  <si>
    <t>ECUE 1.22 Communication</t>
  </si>
  <si>
    <t>ECUE 1.23 Marathon 1</t>
  </si>
  <si>
    <t>ECUE 2.21 Puissance</t>
  </si>
  <si>
    <t>ECUE 2.22 Commande</t>
  </si>
  <si>
    <t>Innovation : partie commande</t>
  </si>
  <si>
    <t>Innovation : partie puissance</t>
  </si>
  <si>
    <t>ECUE 2.23 Marathon  2</t>
  </si>
  <si>
    <t>ECUE 3.21 Prototypage</t>
  </si>
  <si>
    <t>ECUE 3.22 Marathon 3</t>
  </si>
  <si>
    <t>Parcours "Smart Innovation et Prototypage" - MASTER 2</t>
  </si>
  <si>
    <t>Semestre 3 Smart innovation et Prototypage</t>
  </si>
  <si>
    <t>ECUE 2.32 Commande pilot.</t>
  </si>
  <si>
    <t>ECUE 2.33 Matériaux</t>
  </si>
  <si>
    <t>ECUE 2.34 Marathon : projet industriel 4</t>
  </si>
  <si>
    <t>ECUE 2.34 Marathon 4</t>
  </si>
  <si>
    <t>ECUE 3.31 Design 2</t>
  </si>
  <si>
    <t>ECUE 3.32 Marathon 5</t>
  </si>
  <si>
    <t>Semestre 4 Smart innovation et Prototypage</t>
  </si>
  <si>
    <t>ECUE 1.42 Marathon 6</t>
  </si>
  <si>
    <t>ECUE 1.41 Entrepreneuriat</t>
  </si>
  <si>
    <t>ECUE 2.41 Marathon 7</t>
  </si>
  <si>
    <t>ECUE 3.41 Marathon 8</t>
  </si>
  <si>
    <t>ECUE 2.31 Equation Prob.</t>
  </si>
  <si>
    <t>UE1.1 Comprendre et analyser l'environnement</t>
  </si>
  <si>
    <t>UE1.2 Innover</t>
  </si>
  <si>
    <t>UE1.3 Prototyper</t>
  </si>
  <si>
    <t>BCC2 Innover</t>
  </si>
  <si>
    <t>BCC3 Prototyper</t>
  </si>
  <si>
    <t>UE2.1 Comprendre et analyser l'environnement</t>
  </si>
  <si>
    <t>UE2.2 Innover</t>
  </si>
  <si>
    <t>UE2.3 Prototyper</t>
  </si>
  <si>
    <t>UE3.1 Comprendre et analyser l'environnement</t>
  </si>
  <si>
    <t>UE3.2 Innover</t>
  </si>
  <si>
    <t>UE3.3 Prototyper</t>
  </si>
  <si>
    <t>UE4.1 Comprendre et analyser l'environnement</t>
  </si>
  <si>
    <t>UE4.2 Innover</t>
  </si>
  <si>
    <t>UE4.3 Prototyper</t>
  </si>
  <si>
    <t>SEMESTRE 2                                                                                                                                                                                                                         Master Management Sectoriel, Parcours SIP</t>
  </si>
  <si>
    <t>SEMESTRE 1                                                                                                                                                                                                        Master Management Sectoriel, Parcours SIP</t>
  </si>
  <si>
    <t>Smart modélisation</t>
  </si>
  <si>
    <t>Smart matériaux</t>
  </si>
  <si>
    <t>Smart Commande et pilotage</t>
  </si>
  <si>
    <t>Fast Prototypage</t>
  </si>
  <si>
    <t>Modélisation avancée du prototype</t>
  </si>
  <si>
    <t>Marathon  : projet industriel 1</t>
  </si>
  <si>
    <t>Marathon  : projet industriel 2</t>
  </si>
  <si>
    <t>Marathon  : projet industriel 3</t>
  </si>
  <si>
    <t>Marathon  : projet industriel 4</t>
  </si>
  <si>
    <t>Marathon  : projet industriel 5</t>
  </si>
  <si>
    <t>Marathon  : projet industriel 6</t>
  </si>
  <si>
    <t>Marathon  : projet industriel 7</t>
  </si>
  <si>
    <t>Communication professionnelle</t>
  </si>
  <si>
    <t>BCC 1 - Connaître et analyser l'éco-système d'innovation et les stratégies des entreprises</t>
  </si>
  <si>
    <t>BCC1 Connaître et analyser l'éco-système d'innovation et les stratégies des entreprises</t>
  </si>
  <si>
    <t xml:space="preserve">Introduction aux innovations sociétales </t>
  </si>
  <si>
    <t>TP</t>
  </si>
  <si>
    <t>ECUE 1.13 PI</t>
  </si>
  <si>
    <t>ECUE 1.31 Ergonomie</t>
  </si>
  <si>
    <t>ECUE 1.11 Innovation 1</t>
  </si>
  <si>
    <t>ECUE 1.12 Innovation 2</t>
  </si>
  <si>
    <t>ECUE 1.32 Innovation 3</t>
  </si>
  <si>
    <t>Maquette</t>
  </si>
  <si>
    <t>Hétudiant</t>
  </si>
  <si>
    <t>S3</t>
  </si>
  <si>
    <t>RNCP35911BC01 - S’approprier les usages avancés et spécialisés des outils numériques</t>
  </si>
  <si>
    <t>RNCP35911BC02 - Mobiliser et produire des savoirs hautement spécialisés</t>
  </si>
  <si>
    <t>RNCP35911BC03 - Communiquer en contexte professionnel</t>
  </si>
  <si>
    <t>RNCP35911BC04 - Contribuer à la transformation en contexte professionnel</t>
  </si>
  <si>
    <t>RNCP35911BC05 - Élaborer une vision stratégique adaptée au secteur</t>
  </si>
  <si>
    <t>RNCP35911BC06 - Concevoir et/ou piloter des solutions de gestion adaptées au secteur</t>
  </si>
  <si>
    <t>RNCP35911BC07 - Mesurer et contrôler via des outils et méthodes de gestion adaptés au secteur</t>
  </si>
  <si>
    <t>RNCP35911BC09 - Développer une culture managériale et organisationnelle liée au secteur</t>
  </si>
  <si>
    <t>RNCP35911BC10 - Accompagner les comportements et postures au travail</t>
  </si>
  <si>
    <t>RNCP35911BC08 - Mettre en oeuvre des règles, des normes et des démarches qualité adaptées au</t>
  </si>
  <si>
    <t>Correpondance BCC Maquette / BCC Fiche RNCP N°35911</t>
  </si>
  <si>
    <t>Mémoire industriel</t>
  </si>
  <si>
    <t>Marathon  : projet industriel 8</t>
  </si>
  <si>
    <t>Propriété intellectuelle</t>
  </si>
  <si>
    <t>Méthodologie de l'innovation</t>
  </si>
  <si>
    <t>Initiation à l'entrepreneuriat</t>
  </si>
  <si>
    <t>Renforcement du design</t>
  </si>
  <si>
    <t>Acquisition des bases Design</t>
  </si>
  <si>
    <t>Innovation et RSE</t>
  </si>
  <si>
    <t>Ergonomie de produits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</si>
</sst>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indexed="64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9" tint="0.79998168889431442"/>
      <name val="Arial"/>
      <family val="2"/>
    </font>
    <font>
      <b/>
      <sz val="10"/>
      <color theme="9" tint="0.79998168889431442"/>
      <name val="Arial"/>
      <family val="2"/>
    </font>
    <font>
      <b/>
      <sz val="10"/>
      <color rgb="FF2E75B5"/>
      <name val="Arial"/>
      <family val="2"/>
    </font>
    <font>
      <b/>
      <sz val="10"/>
      <color indexed="64"/>
      <name val="Arial"/>
      <family val="2"/>
    </font>
    <font>
      <b/>
      <sz val="12"/>
      <color indexed="64"/>
      <name val="Arial"/>
      <family val="2"/>
    </font>
    <font>
      <b/>
      <sz val="9"/>
      <color indexed="64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Liberation Sans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Liberation Sans"/>
      <family val="2"/>
    </font>
    <font>
      <b/>
      <sz val="9"/>
      <color theme="1"/>
      <name val="Liberation Sans"/>
      <family val="2"/>
    </font>
    <font>
      <sz val="12"/>
      <color indexed="4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4"/>
      <color indexed="64"/>
      <name val="Calibri"/>
      <family val="2"/>
      <scheme val="minor"/>
    </font>
    <font>
      <b/>
      <sz val="11"/>
      <color indexed="64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CCCC"/>
        <bgColor rgb="FFFFCCCC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7030A0"/>
        <bgColor rgb="FF7030A0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theme="8" tint="0.79998168889431442"/>
      </patternFill>
    </fill>
    <fill>
      <patternFill patternType="solid">
        <fgColor rgb="FF002060"/>
        <bgColor theme="9" tint="-0.249977111117893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002060"/>
        <bgColor theme="9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9" tint="0.59999389629810485"/>
      </patternFill>
    </fill>
    <fill>
      <patternFill patternType="solid">
        <fgColor theme="4" tint="0.79998168889431442"/>
        <bgColor theme="9" tint="0.39997558519241921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7" tint="0.79998168889431442"/>
        <bgColor theme="5" tint="0.59999389629810485"/>
      </patternFill>
    </fill>
    <fill>
      <patternFill patternType="solid">
        <fgColor theme="5" tint="0.79998168889431442"/>
        <bgColor theme="8" tint="0.59999389629810485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79998168889431442"/>
        <bgColor theme="6" tint="0.59999389629810485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2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3" borderId="6" xfId="0" applyFont="1" applyFill="1" applyBorder="1" applyAlignment="1">
      <alignment vertical="center"/>
    </xf>
    <xf numFmtId="0" fontId="16" fillId="4" borderId="6" xfId="0" applyFont="1" applyFill="1" applyBorder="1" applyAlignment="1">
      <alignment vertical="center"/>
    </xf>
    <xf numFmtId="1" fontId="17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left" vertical="center"/>
    </xf>
    <xf numFmtId="1" fontId="1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8" fillId="0" borderId="9" xfId="0" applyFont="1" applyBorder="1" applyAlignment="1">
      <alignment vertical="center"/>
    </xf>
    <xf numFmtId="0" fontId="0" fillId="5" borderId="9" xfId="0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164" fontId="30" fillId="6" borderId="24" xfId="0" applyNumberFormat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164" fontId="32" fillId="0" borderId="0" xfId="0" applyNumberFormat="1" applyFont="1" applyAlignment="1">
      <alignment horizontal="center" vertical="center"/>
    </xf>
    <xf numFmtId="0" fontId="12" fillId="0" borderId="14" xfId="1" applyBorder="1" applyAlignment="1">
      <alignment horizontal="center" vertical="center"/>
    </xf>
    <xf numFmtId="0" fontId="12" fillId="4" borderId="30" xfId="1" applyFill="1" applyBorder="1" applyAlignment="1">
      <alignment horizontal="center" vertical="center"/>
    </xf>
    <xf numFmtId="0" fontId="15" fillId="7" borderId="0" xfId="1" applyFont="1" applyFill="1" applyAlignment="1">
      <alignment horizontal="center"/>
    </xf>
    <xf numFmtId="0" fontId="35" fillId="0" borderId="31" xfId="1" applyFont="1" applyBorder="1" applyAlignment="1">
      <alignment horizontal="center" vertical="center"/>
    </xf>
    <xf numFmtId="0" fontId="15" fillId="8" borderId="31" xfId="1" applyFont="1" applyFill="1" applyBorder="1" applyAlignment="1">
      <alignment horizontal="center" vertical="center"/>
    </xf>
    <xf numFmtId="0" fontId="12" fillId="0" borderId="37" xfId="1" applyBorder="1" applyAlignment="1">
      <alignment horizontal="center" vertical="center"/>
    </xf>
    <xf numFmtId="0" fontId="12" fillId="0" borderId="39" xfId="1" applyBorder="1" applyAlignment="1">
      <alignment horizontal="center" vertical="center"/>
    </xf>
    <xf numFmtId="0" fontId="16" fillId="9" borderId="42" xfId="0" applyFont="1" applyFill="1" applyBorder="1" applyAlignment="1">
      <alignment horizontal="center"/>
    </xf>
    <xf numFmtId="0" fontId="15" fillId="10" borderId="42" xfId="0" applyFont="1" applyFill="1" applyBorder="1" applyAlignment="1">
      <alignment horizontal="center"/>
    </xf>
    <xf numFmtId="0" fontId="15" fillId="10" borderId="2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11" borderId="6" xfId="0" applyFont="1" applyFill="1" applyBorder="1"/>
    <xf numFmtId="0" fontId="0" fillId="0" borderId="8" xfId="0" applyBorder="1" applyAlignment="1">
      <alignment vertical="center"/>
    </xf>
    <xf numFmtId="0" fontId="1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40" fillId="5" borderId="6" xfId="0" applyFont="1" applyFill="1" applyBorder="1" applyAlignment="1">
      <alignment horizontal="center" vertical="center"/>
    </xf>
    <xf numFmtId="0" fontId="41" fillId="0" borderId="9" xfId="0" applyFont="1" applyBorder="1" applyAlignment="1">
      <alignment vertical="center"/>
    </xf>
    <xf numFmtId="164" fontId="41" fillId="6" borderId="26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164" fontId="41" fillId="6" borderId="24" xfId="0" applyNumberFormat="1" applyFont="1" applyFill="1" applyBorder="1" applyAlignment="1">
      <alignment horizontal="center" vertical="center"/>
    </xf>
    <xf numFmtId="0" fontId="40" fillId="5" borderId="9" xfId="0" applyFont="1" applyFill="1" applyBorder="1" applyAlignment="1">
      <alignment horizontal="center" vertical="center"/>
    </xf>
    <xf numFmtId="0" fontId="12" fillId="4" borderId="43" xfId="1" applyFill="1" applyBorder="1" applyAlignment="1">
      <alignment horizontal="center" vertical="center"/>
    </xf>
    <xf numFmtId="0" fontId="12" fillId="0" borderId="36" xfId="1" applyBorder="1" applyAlignment="1">
      <alignment horizontal="center" vertical="center"/>
    </xf>
    <xf numFmtId="0" fontId="12" fillId="0" borderId="38" xfId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13" borderId="6" xfId="0" applyFont="1" applyFill="1" applyBorder="1" applyAlignment="1">
      <alignment vertical="center"/>
    </xf>
    <xf numFmtId="0" fontId="15" fillId="12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35" fillId="0" borderId="37" xfId="1" applyFont="1" applyBorder="1" applyAlignment="1">
      <alignment horizontal="center" vertical="center"/>
    </xf>
    <xf numFmtId="0" fontId="35" fillId="0" borderId="39" xfId="1" applyFont="1" applyBorder="1" applyAlignment="1">
      <alignment horizontal="center" vertical="center"/>
    </xf>
    <xf numFmtId="0" fontId="41" fillId="0" borderId="6" xfId="0" applyFont="1" applyBorder="1" applyAlignment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33" fillId="0" borderId="8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9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0" fillId="0" borderId="46" xfId="0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42" fillId="6" borderId="6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0" fontId="42" fillId="6" borderId="9" xfId="0" applyFont="1" applyFill="1" applyBorder="1" applyAlignment="1">
      <alignment horizontal="left" vertical="center" wrapText="1"/>
    </xf>
    <xf numFmtId="0" fontId="31" fillId="0" borderId="9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12" fillId="0" borderId="20" xfId="1" applyBorder="1" applyAlignment="1">
      <alignment horizontal="center"/>
    </xf>
    <xf numFmtId="0" fontId="12" fillId="0" borderId="21" xfId="1" applyBorder="1" applyAlignment="1">
      <alignment horizontal="center" vertical="center"/>
    </xf>
    <xf numFmtId="0" fontId="12" fillId="4" borderId="40" xfId="1" applyFill="1" applyBorder="1" applyAlignment="1">
      <alignment horizontal="center" vertical="center"/>
    </xf>
    <xf numFmtId="0" fontId="9" fillId="16" borderId="42" xfId="0" applyFont="1" applyFill="1" applyBorder="1" applyAlignment="1">
      <alignment horizontal="left" vertical="center" textRotation="90" wrapText="1"/>
    </xf>
    <xf numFmtId="0" fontId="12" fillId="17" borderId="40" xfId="1" applyFill="1" applyBorder="1" applyAlignment="1">
      <alignment horizontal="center" vertical="center"/>
    </xf>
    <xf numFmtId="0" fontId="42" fillId="16" borderId="42" xfId="0" applyFont="1" applyFill="1" applyBorder="1" applyAlignment="1">
      <alignment horizontal="left" vertical="center" textRotation="90" wrapText="1"/>
    </xf>
    <xf numFmtId="0" fontId="42" fillId="16" borderId="47" xfId="0" applyFont="1" applyFill="1" applyBorder="1" applyAlignment="1">
      <alignment horizontal="left" vertical="center" textRotation="90" wrapText="1"/>
    </xf>
    <xf numFmtId="164" fontId="45" fillId="16" borderId="23" xfId="0" applyNumberFormat="1" applyFont="1" applyFill="1" applyBorder="1" applyAlignment="1">
      <alignment horizontal="center" vertical="center"/>
    </xf>
    <xf numFmtId="164" fontId="45" fillId="16" borderId="25" xfId="0" applyNumberFormat="1" applyFont="1" applyFill="1" applyBorder="1" applyAlignment="1">
      <alignment horizontal="center" vertical="center"/>
    </xf>
    <xf numFmtId="0" fontId="12" fillId="0" borderId="42" xfId="1" applyBorder="1" applyAlignment="1">
      <alignment horizontal="center"/>
    </xf>
    <xf numFmtId="0" fontId="35" fillId="0" borderId="42" xfId="1" applyFont="1" applyBorder="1" applyAlignment="1">
      <alignment horizontal="center" vertical="center"/>
    </xf>
    <xf numFmtId="0" fontId="12" fillId="0" borderId="28" xfId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/>
    </xf>
    <xf numFmtId="0" fontId="15" fillId="14" borderId="7" xfId="0" applyFont="1" applyFill="1" applyBorder="1" applyAlignment="1">
      <alignment horizontal="center" vertical="center"/>
    </xf>
    <xf numFmtId="0" fontId="15" fillId="15" borderId="0" xfId="0" applyFont="1" applyFill="1" applyAlignment="1">
      <alignment horizontal="center" vertical="center"/>
    </xf>
    <xf numFmtId="0" fontId="15" fillId="15" borderId="9" xfId="0" applyFont="1" applyFill="1" applyBorder="1" applyAlignment="1">
      <alignment horizontal="center" vertical="center"/>
    </xf>
    <xf numFmtId="0" fontId="25" fillId="20" borderId="18" xfId="0" applyFont="1" applyFill="1" applyBorder="1" applyAlignment="1">
      <alignment horizontal="center" vertical="center" wrapText="1"/>
    </xf>
    <xf numFmtId="0" fontId="26" fillId="20" borderId="19" xfId="0" applyFont="1" applyFill="1" applyBorder="1" applyAlignment="1">
      <alignment horizontal="center" vertical="center" wrapText="1"/>
    </xf>
    <xf numFmtId="0" fontId="26" fillId="20" borderId="20" xfId="0" applyFont="1" applyFill="1" applyBorder="1" applyAlignment="1">
      <alignment horizontal="center" vertical="center" wrapText="1"/>
    </xf>
    <xf numFmtId="0" fontId="27" fillId="20" borderId="20" xfId="0" applyFont="1" applyFill="1" applyBorder="1" applyAlignment="1">
      <alignment horizontal="center" vertical="center" wrapText="1"/>
    </xf>
    <xf numFmtId="0" fontId="27" fillId="20" borderId="19" xfId="0" applyFont="1" applyFill="1" applyBorder="1" applyAlignment="1">
      <alignment horizontal="center" vertical="center" wrapText="1"/>
    </xf>
    <xf numFmtId="0" fontId="26" fillId="20" borderId="21" xfId="0" applyFont="1" applyFill="1" applyBorder="1" applyAlignment="1">
      <alignment horizontal="center" vertical="center" wrapText="1"/>
    </xf>
    <xf numFmtId="0" fontId="25" fillId="20" borderId="6" xfId="0" applyFont="1" applyFill="1" applyBorder="1" applyAlignment="1">
      <alignment horizontal="left" vertical="center"/>
    </xf>
    <xf numFmtId="0" fontId="0" fillId="20" borderId="6" xfId="0" applyFill="1" applyBorder="1" applyAlignment="1">
      <alignment horizontal="center" vertical="center"/>
    </xf>
    <xf numFmtId="0" fontId="9" fillId="20" borderId="6" xfId="0" applyFont="1" applyFill="1" applyBorder="1" applyAlignment="1">
      <alignment horizontal="left" vertical="center"/>
    </xf>
    <xf numFmtId="0" fontId="29" fillId="19" borderId="6" xfId="0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center" vertical="center"/>
    </xf>
    <xf numFmtId="164" fontId="25" fillId="20" borderId="18" xfId="0" applyNumberFormat="1" applyFont="1" applyFill="1" applyBorder="1" applyAlignment="1">
      <alignment horizontal="center" vertical="center"/>
    </xf>
    <xf numFmtId="164" fontId="25" fillId="20" borderId="21" xfId="0" applyNumberFormat="1" applyFont="1" applyFill="1" applyBorder="1" applyAlignment="1">
      <alignment horizontal="center" vertical="center"/>
    </xf>
    <xf numFmtId="0" fontId="16" fillId="22" borderId="33" xfId="1" applyFont="1" applyFill="1" applyBorder="1" applyAlignment="1">
      <alignment horizontal="center"/>
    </xf>
    <xf numFmtId="0" fontId="16" fillId="22" borderId="34" xfId="1" applyFont="1" applyFill="1" applyBorder="1" applyAlignment="1">
      <alignment horizontal="center"/>
    </xf>
    <xf numFmtId="0" fontId="16" fillId="22" borderId="35" xfId="1" applyFont="1" applyFill="1" applyBorder="1" applyAlignment="1">
      <alignment horizontal="left"/>
    </xf>
    <xf numFmtId="0" fontId="16" fillId="22" borderId="35" xfId="1" applyFont="1" applyFill="1" applyBorder="1" applyAlignment="1">
      <alignment horizontal="center"/>
    </xf>
    <xf numFmtId="0" fontId="16" fillId="23" borderId="25" xfId="1" applyFont="1" applyFill="1" applyBorder="1" applyAlignment="1">
      <alignment horizontal="center"/>
    </xf>
    <xf numFmtId="0" fontId="16" fillId="23" borderId="3" xfId="1" applyFont="1" applyFill="1" applyBorder="1" applyAlignment="1">
      <alignment horizontal="center"/>
    </xf>
    <xf numFmtId="0" fontId="16" fillId="23" borderId="6" xfId="1" applyFont="1" applyFill="1" applyBorder="1" applyAlignment="1">
      <alignment horizontal="left"/>
    </xf>
    <xf numFmtId="0" fontId="16" fillId="23" borderId="6" xfId="1" applyFont="1" applyFill="1" applyBorder="1" applyAlignment="1">
      <alignment horizontal="center"/>
    </xf>
    <xf numFmtId="0" fontId="16" fillId="22" borderId="6" xfId="0" applyFont="1" applyFill="1" applyBorder="1" applyAlignment="1">
      <alignment horizontal="center" vertical="center"/>
    </xf>
    <xf numFmtId="0" fontId="37" fillId="24" borderId="6" xfId="0" applyFont="1" applyFill="1" applyBorder="1" applyAlignment="1">
      <alignment horizontal="center" vertical="center" wrapText="1"/>
    </xf>
    <xf numFmtId="0" fontId="16" fillId="22" borderId="6" xfId="0" applyFont="1" applyFill="1" applyBorder="1" applyAlignment="1">
      <alignment vertical="center"/>
    </xf>
    <xf numFmtId="0" fontId="16" fillId="23" borderId="6" xfId="0" applyFont="1" applyFill="1" applyBorder="1" applyAlignment="1">
      <alignment horizontal="center" vertical="center"/>
    </xf>
    <xf numFmtId="0" fontId="37" fillId="23" borderId="6" xfId="0" applyFont="1" applyFill="1" applyBorder="1" applyAlignment="1">
      <alignment horizontal="center" vertical="center" wrapText="1"/>
    </xf>
    <xf numFmtId="0" fontId="16" fillId="23" borderId="6" xfId="0" applyFont="1" applyFill="1" applyBorder="1" applyAlignment="1">
      <alignment vertical="center"/>
    </xf>
    <xf numFmtId="0" fontId="16" fillId="25" borderId="25" xfId="1" applyFont="1" applyFill="1" applyBorder="1" applyAlignment="1">
      <alignment horizontal="center"/>
    </xf>
    <xf numFmtId="0" fontId="16" fillId="25" borderId="3" xfId="1" applyFont="1" applyFill="1" applyBorder="1" applyAlignment="1">
      <alignment horizontal="center"/>
    </xf>
    <xf numFmtId="0" fontId="16" fillId="25" borderId="6" xfId="1" applyFont="1" applyFill="1" applyBorder="1" applyAlignment="1">
      <alignment horizontal="left"/>
    </xf>
    <xf numFmtId="0" fontId="16" fillId="25" borderId="6" xfId="2" applyFont="1" applyFill="1" applyBorder="1" applyAlignment="1">
      <alignment horizontal="center" vertical="center" wrapText="1"/>
    </xf>
    <xf numFmtId="0" fontId="16" fillId="25" borderId="6" xfId="0" applyFont="1" applyFill="1" applyBorder="1" applyAlignment="1">
      <alignment horizontal="center" vertical="center"/>
    </xf>
    <xf numFmtId="0" fontId="16" fillId="26" borderId="6" xfId="0" applyFont="1" applyFill="1" applyBorder="1" applyAlignment="1">
      <alignment horizontal="center" vertical="center" wrapText="1"/>
    </xf>
    <xf numFmtId="0" fontId="16" fillId="25" borderId="6" xfId="0" applyFont="1" applyFill="1" applyBorder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35" fillId="0" borderId="41" xfId="1" applyFont="1" applyBorder="1" applyAlignment="1">
      <alignment horizontal="center" vertical="center"/>
    </xf>
    <xf numFmtId="0" fontId="12" fillId="0" borderId="45" xfId="1" applyBorder="1" applyAlignment="1">
      <alignment horizontal="center" vertical="center"/>
    </xf>
    <xf numFmtId="0" fontId="16" fillId="22" borderId="48" xfId="1" applyFont="1" applyFill="1" applyBorder="1" applyAlignment="1">
      <alignment horizontal="center"/>
    </xf>
    <xf numFmtId="0" fontId="16" fillId="25" borderId="1" xfId="2" applyFont="1" applyFill="1" applyBorder="1" applyAlignment="1">
      <alignment horizontal="center" vertical="center" wrapText="1"/>
    </xf>
    <xf numFmtId="0" fontId="16" fillId="23" borderId="1" xfId="1" applyFont="1" applyFill="1" applyBorder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16" fillId="11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164" fontId="25" fillId="20" borderId="28" xfId="0" applyNumberFormat="1" applyFont="1" applyFill="1" applyBorder="1" applyAlignment="1">
      <alignment horizontal="center" vertical="center"/>
    </xf>
    <xf numFmtId="164" fontId="25" fillId="20" borderId="42" xfId="0" applyNumberFormat="1" applyFont="1" applyFill="1" applyBorder="1" applyAlignment="1">
      <alignment horizontal="center" vertical="center"/>
    </xf>
    <xf numFmtId="0" fontId="26" fillId="20" borderId="28" xfId="0" applyFont="1" applyFill="1" applyBorder="1" applyAlignment="1">
      <alignment horizontal="center" vertical="center" wrapText="1"/>
    </xf>
    <xf numFmtId="0" fontId="26" fillId="20" borderId="42" xfId="0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4" fontId="16" fillId="11" borderId="6" xfId="0" applyNumberFormat="1" applyFont="1" applyFill="1" applyBorder="1" applyAlignment="1">
      <alignment horizontal="center" vertical="center"/>
    </xf>
    <xf numFmtId="164" fontId="16" fillId="11" borderId="7" xfId="0" applyNumberFormat="1" applyFont="1" applyFill="1" applyBorder="1" applyAlignment="1">
      <alignment horizontal="center" vertical="center"/>
    </xf>
    <xf numFmtId="164" fontId="16" fillId="11" borderId="6" xfId="0" applyNumberFormat="1" applyFont="1" applyFill="1" applyBorder="1" applyAlignment="1">
      <alignment horizontal="center"/>
    </xf>
    <xf numFmtId="164" fontId="0" fillId="0" borderId="0" xfId="0" applyNumberFormat="1" applyAlignment="1">
      <alignment vertical="center"/>
    </xf>
    <xf numFmtId="0" fontId="16" fillId="11" borderId="3" xfId="0" applyFont="1" applyFill="1" applyBorder="1"/>
    <xf numFmtId="164" fontId="16" fillId="0" borderId="18" xfId="0" applyNumberFormat="1" applyFont="1" applyBorder="1" applyAlignment="1">
      <alignment vertical="center"/>
    </xf>
    <xf numFmtId="164" fontId="16" fillId="0" borderId="21" xfId="0" applyNumberFormat="1" applyFont="1" applyBorder="1" applyAlignment="1">
      <alignment vertical="center"/>
    </xf>
    <xf numFmtId="0" fontId="4" fillId="20" borderId="6" xfId="0" applyFont="1" applyFill="1" applyBorder="1" applyAlignment="1">
      <alignment horizontal="center" vertical="center"/>
    </xf>
    <xf numFmtId="164" fontId="30" fillId="6" borderId="23" xfId="0" applyNumberFormat="1" applyFont="1" applyFill="1" applyBorder="1" applyAlignment="1">
      <alignment horizontal="center" vertical="center"/>
    </xf>
    <xf numFmtId="164" fontId="30" fillId="6" borderId="49" xfId="0" applyNumberFormat="1" applyFont="1" applyFill="1" applyBorder="1" applyAlignment="1">
      <alignment horizontal="center" vertical="center"/>
    </xf>
    <xf numFmtId="164" fontId="30" fillId="6" borderId="25" xfId="0" applyNumberFormat="1" applyFont="1" applyFill="1" applyBorder="1" applyAlignment="1">
      <alignment horizontal="center" vertical="center"/>
    </xf>
    <xf numFmtId="164" fontId="30" fillId="6" borderId="2" xfId="0" applyNumberFormat="1" applyFont="1" applyFill="1" applyBorder="1" applyAlignment="1">
      <alignment horizontal="center" vertical="center"/>
    </xf>
    <xf numFmtId="0" fontId="38" fillId="0" borderId="7" xfId="0" applyFont="1" applyBorder="1" applyAlignment="1">
      <alignment horizontal="center" vertical="center" wrapText="1"/>
    </xf>
    <xf numFmtId="164" fontId="30" fillId="0" borderId="26" xfId="0" applyNumberFormat="1" applyFont="1" applyBorder="1" applyAlignment="1">
      <alignment horizontal="center" vertical="center"/>
    </xf>
    <xf numFmtId="164" fontId="30" fillId="0" borderId="23" xfId="0" applyNumberFormat="1" applyFont="1" applyBorder="1" applyAlignment="1">
      <alignment horizontal="center" vertical="center"/>
    </xf>
    <xf numFmtId="164" fontId="30" fillId="0" borderId="49" xfId="0" applyNumberFormat="1" applyFont="1" applyBorder="1" applyAlignment="1">
      <alignment horizontal="center" vertical="center"/>
    </xf>
    <xf numFmtId="164" fontId="30" fillId="0" borderId="24" xfId="0" applyNumberFormat="1" applyFont="1" applyBorder="1" applyAlignment="1">
      <alignment horizontal="center" vertical="center"/>
    </xf>
    <xf numFmtId="164" fontId="30" fillId="0" borderId="25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3" fillId="0" borderId="0" xfId="0" applyFont="1"/>
    <xf numFmtId="0" fontId="25" fillId="0" borderId="0" xfId="0" applyFont="1"/>
    <xf numFmtId="0" fontId="0" fillId="0" borderId="6" xfId="0" applyBorder="1"/>
    <xf numFmtId="0" fontId="3" fillId="0" borderId="6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16" borderId="42" xfId="0" applyFont="1" applyFill="1" applyBorder="1" applyAlignment="1">
      <alignment horizontal="left" vertical="center" textRotation="90" wrapText="1"/>
    </xf>
    <xf numFmtId="0" fontId="1" fillId="0" borderId="6" xfId="0" applyFont="1" applyBorder="1"/>
    <xf numFmtId="0" fontId="43" fillId="14" borderId="4" xfId="0" applyFont="1" applyFill="1" applyBorder="1" applyAlignment="1">
      <alignment horizontal="center" vertical="center"/>
    </xf>
    <xf numFmtId="0" fontId="43" fillId="14" borderId="0" xfId="0" applyFont="1" applyFill="1" applyAlignment="1">
      <alignment horizontal="center" vertical="center"/>
    </xf>
    <xf numFmtId="0" fontId="44" fillId="15" borderId="0" xfId="0" applyFont="1" applyFill="1" applyAlignment="1">
      <alignment horizontal="center" vertical="center"/>
    </xf>
    <xf numFmtId="0" fontId="16" fillId="2" borderId="6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16" fillId="4" borderId="6" xfId="0" applyFont="1" applyFill="1" applyBorder="1" applyAlignment="1">
      <alignment vertical="center" wrapText="1"/>
    </xf>
    <xf numFmtId="0" fontId="43" fillId="14" borderId="1" xfId="0" applyFont="1" applyFill="1" applyBorder="1" applyAlignment="1">
      <alignment horizontal="center" vertical="center"/>
    </xf>
    <xf numFmtId="0" fontId="43" fillId="14" borderId="2" xfId="0" applyFont="1" applyFill="1" applyBorder="1" applyAlignment="1">
      <alignment horizontal="center" vertical="center"/>
    </xf>
    <xf numFmtId="0" fontId="44" fillId="15" borderId="3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wrapText="1"/>
    </xf>
    <xf numFmtId="0" fontId="16" fillId="11" borderId="8" xfId="0" applyFont="1" applyFill="1" applyBorder="1" applyAlignment="1">
      <alignment horizontal="center" wrapText="1"/>
    </xf>
    <xf numFmtId="0" fontId="16" fillId="11" borderId="9" xfId="0" applyFont="1" applyFill="1" applyBorder="1" applyAlignment="1">
      <alignment horizontal="center" wrapText="1"/>
    </xf>
    <xf numFmtId="0" fontId="14" fillId="20" borderId="12" xfId="0" applyFont="1" applyFill="1" applyBorder="1" applyAlignment="1">
      <alignment horizontal="center" vertical="center"/>
    </xf>
    <xf numFmtId="0" fontId="0" fillId="19" borderId="13" xfId="0" applyFill="1" applyBorder="1" applyAlignment="1">
      <alignment vertical="center"/>
    </xf>
    <xf numFmtId="164" fontId="32" fillId="21" borderId="27" xfId="0" applyNumberFormat="1" applyFont="1" applyFill="1" applyBorder="1" applyAlignment="1">
      <alignment horizontal="center" vertical="center"/>
    </xf>
    <xf numFmtId="164" fontId="32" fillId="21" borderId="32" xfId="0" applyNumberFormat="1" applyFont="1" applyFill="1" applyBorder="1" applyAlignment="1">
      <alignment horizontal="center" vertical="center"/>
    </xf>
    <xf numFmtId="0" fontId="0" fillId="19" borderId="28" xfId="0" applyFill="1" applyBorder="1" applyAlignment="1">
      <alignment vertical="center"/>
    </xf>
    <xf numFmtId="0" fontId="46" fillId="18" borderId="12" xfId="0" applyFont="1" applyFill="1" applyBorder="1" applyAlignment="1">
      <alignment horizontal="left" vertical="center"/>
    </xf>
    <xf numFmtId="0" fontId="47" fillId="15" borderId="13" xfId="0" applyFont="1" applyFill="1" applyBorder="1" applyAlignment="1">
      <alignment horizontal="left"/>
    </xf>
    <xf numFmtId="0" fontId="47" fillId="15" borderId="14" xfId="0" applyFont="1" applyFill="1" applyBorder="1" applyAlignment="1">
      <alignment horizontal="left"/>
    </xf>
    <xf numFmtId="0" fontId="46" fillId="18" borderId="15" xfId="0" applyFont="1" applyFill="1" applyBorder="1" applyAlignment="1">
      <alignment horizontal="left"/>
    </xf>
    <xf numFmtId="0" fontId="46" fillId="15" borderId="16" xfId="0" applyFont="1" applyFill="1" applyBorder="1" applyAlignment="1">
      <alignment horizontal="left"/>
    </xf>
    <xf numFmtId="0" fontId="46" fillId="15" borderId="17" xfId="0" applyFont="1" applyFill="1" applyBorder="1" applyAlignment="1">
      <alignment horizontal="left"/>
    </xf>
    <xf numFmtId="0" fontId="23" fillId="0" borderId="16" xfId="0" applyFont="1" applyBorder="1"/>
    <xf numFmtId="0" fontId="0" fillId="0" borderId="16" xfId="0" applyBorder="1"/>
    <xf numFmtId="0" fontId="24" fillId="20" borderId="12" xfId="0" applyFont="1" applyFill="1" applyBorder="1" applyAlignment="1">
      <alignment horizontal="center" vertical="center" wrapText="1"/>
    </xf>
    <xf numFmtId="0" fontId="24" fillId="20" borderId="13" xfId="0" applyFont="1" applyFill="1" applyBorder="1" applyAlignment="1">
      <alignment horizontal="center" vertical="center" wrapText="1"/>
    </xf>
    <xf numFmtId="0" fontId="24" fillId="20" borderId="14" xfId="0" applyFont="1" applyFill="1" applyBorder="1" applyAlignment="1">
      <alignment horizontal="center" vertical="center" wrapText="1"/>
    </xf>
    <xf numFmtId="0" fontId="0" fillId="19" borderId="15" xfId="0" applyFill="1" applyBorder="1" applyAlignment="1">
      <alignment horizontal="center" vertical="center" wrapText="1"/>
    </xf>
    <xf numFmtId="0" fontId="0" fillId="19" borderId="16" xfId="0" applyFill="1" applyBorder="1" applyAlignment="1">
      <alignment horizontal="center" vertical="center" wrapText="1"/>
    </xf>
    <xf numFmtId="0" fontId="0" fillId="19" borderId="17" xfId="0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 wrapText="1"/>
    </xf>
    <xf numFmtId="0" fontId="16" fillId="11" borderId="8" xfId="0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 wrapText="1"/>
    </xf>
    <xf numFmtId="0" fontId="34" fillId="0" borderId="12" xfId="1" applyFont="1" applyBorder="1" applyAlignment="1">
      <alignment horizontal="center" vertical="center" wrapText="1"/>
    </xf>
    <xf numFmtId="0" fontId="34" fillId="0" borderId="13" xfId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34" fillId="0" borderId="29" xfId="1" applyFont="1" applyBorder="1" applyAlignment="1">
      <alignment horizontal="center" vertical="center" wrapText="1"/>
    </xf>
    <xf numFmtId="0" fontId="34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36" fillId="8" borderId="32" xfId="0" applyFont="1" applyFill="1" applyBorder="1" applyAlignment="1">
      <alignment horizontal="center" vertical="center"/>
    </xf>
    <xf numFmtId="0" fontId="36" fillId="8" borderId="13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CD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M21"/>
  <sheetViews>
    <sheetView tabSelected="1" zoomScale="70" zoomScaleNormal="70" workbookViewId="0">
      <selection activeCell="H4" sqref="H4"/>
    </sheetView>
  </sheetViews>
  <sheetFormatPr baseColWidth="10" defaultColWidth="11.5703125" defaultRowHeight="15"/>
  <cols>
    <col min="1" max="1" width="30.85546875" style="1" customWidth="1"/>
    <col min="2" max="2" width="35.7109375" style="1" customWidth="1"/>
    <col min="3" max="3" width="5.7109375" style="1" customWidth="1"/>
    <col min="4" max="4" width="5.7109375" style="2" customWidth="1"/>
    <col min="5" max="5" width="35.7109375" style="1" customWidth="1"/>
    <col min="6" max="6" width="6.85546875" style="1" customWidth="1"/>
    <col min="7" max="7" width="5.7109375" style="2" customWidth="1"/>
    <col min="8" max="8" width="35.7109375" style="1" customWidth="1"/>
    <col min="9" max="9" width="6.85546875" style="1" customWidth="1"/>
    <col min="10" max="10" width="5.7109375" style="2" customWidth="1"/>
    <col min="11" max="11" width="35.7109375" style="1" customWidth="1"/>
    <col min="12" max="12" width="6.85546875" style="1" customWidth="1"/>
    <col min="13" max="13" width="5.7109375" style="2" customWidth="1"/>
    <col min="14" max="14" width="1.28515625" style="1" customWidth="1"/>
    <col min="15" max="16384" width="11.5703125" style="1"/>
  </cols>
  <sheetData>
    <row r="1" spans="1:13" ht="31.5" customHeight="1">
      <c r="A1" s="164" t="s">
        <v>0</v>
      </c>
      <c r="B1" s="221" t="s">
        <v>57</v>
      </c>
      <c r="C1" s="222"/>
      <c r="D1" s="223"/>
      <c r="E1" s="221" t="s">
        <v>58</v>
      </c>
      <c r="F1" s="222"/>
      <c r="G1" s="223"/>
      <c r="H1" s="221" t="s">
        <v>59</v>
      </c>
      <c r="I1" s="222"/>
      <c r="J1" s="223"/>
      <c r="K1" s="215" t="s">
        <v>60</v>
      </c>
      <c r="L1" s="216"/>
      <c r="M1" s="217"/>
    </row>
    <row r="2" spans="1:13" ht="31.5" customHeight="1">
      <c r="A2" s="165" t="s">
        <v>53</v>
      </c>
      <c r="B2" s="3"/>
      <c r="C2" s="126" t="s">
        <v>1</v>
      </c>
      <c r="D2" s="126" t="s">
        <v>2</v>
      </c>
      <c r="E2" s="3"/>
      <c r="F2" s="127" t="s">
        <v>1</v>
      </c>
      <c r="G2" s="126" t="s">
        <v>2</v>
      </c>
      <c r="H2" s="3"/>
      <c r="I2" s="126" t="s">
        <v>1</v>
      </c>
      <c r="J2" s="126" t="s">
        <v>2</v>
      </c>
      <c r="K2" s="3"/>
      <c r="L2" s="127" t="s">
        <v>1</v>
      </c>
      <c r="M2" s="126" t="s">
        <v>2</v>
      </c>
    </row>
    <row r="3" spans="1:13" ht="31.5" customHeight="1">
      <c r="A3" s="218" t="s">
        <v>126</v>
      </c>
      <c r="B3" s="175" t="s">
        <v>128</v>
      </c>
      <c r="C3" s="4">
        <v>8</v>
      </c>
      <c r="D3" s="12">
        <v>1</v>
      </c>
      <c r="E3" s="82" t="s">
        <v>3</v>
      </c>
      <c r="F3" s="106">
        <v>14</v>
      </c>
      <c r="G3" s="99">
        <v>2</v>
      </c>
      <c r="H3" s="212" t="s">
        <v>157</v>
      </c>
      <c r="I3" s="75">
        <v>8</v>
      </c>
      <c r="J3" s="12">
        <v>2</v>
      </c>
      <c r="K3" s="212" t="s">
        <v>153</v>
      </c>
      <c r="L3" s="99">
        <v>12</v>
      </c>
      <c r="M3" s="100">
        <v>2</v>
      </c>
    </row>
    <row r="4" spans="1:13" ht="31.5" customHeight="1">
      <c r="A4" s="218"/>
      <c r="B4" s="211" t="s">
        <v>156</v>
      </c>
      <c r="C4" s="6">
        <v>20</v>
      </c>
      <c r="D4" s="13">
        <v>3</v>
      </c>
      <c r="E4" s="173" t="s">
        <v>125</v>
      </c>
      <c r="F4" s="6">
        <v>8</v>
      </c>
      <c r="G4" s="100">
        <v>1</v>
      </c>
      <c r="H4" s="211" t="s">
        <v>152</v>
      </c>
      <c r="I4" s="74">
        <v>20</v>
      </c>
      <c r="J4" s="13">
        <v>3</v>
      </c>
      <c r="K4" s="93" t="s">
        <v>123</v>
      </c>
      <c r="L4" s="75">
        <v>20</v>
      </c>
      <c r="M4" s="100">
        <v>3</v>
      </c>
    </row>
    <row r="5" spans="1:13" ht="31.5" customHeight="1">
      <c r="A5" s="218"/>
      <c r="B5" s="211" t="s">
        <v>151</v>
      </c>
      <c r="C5" s="6">
        <v>8</v>
      </c>
      <c r="D5" s="13">
        <v>1</v>
      </c>
      <c r="E5" s="93" t="s">
        <v>118</v>
      </c>
      <c r="F5" s="85">
        <v>20</v>
      </c>
      <c r="G5" s="100">
        <v>2</v>
      </c>
      <c r="H5" s="50"/>
      <c r="J5" s="101"/>
      <c r="K5" s="50"/>
      <c r="L5" s="75"/>
      <c r="M5" s="75"/>
    </row>
    <row r="6" spans="1:13" ht="31.5" customHeight="1">
      <c r="A6" s="218"/>
      <c r="B6" s="81"/>
      <c r="C6" s="6"/>
      <c r="D6" s="13"/>
      <c r="E6" s="50"/>
      <c r="F6" s="94"/>
      <c r="G6" s="75"/>
      <c r="H6" s="81"/>
      <c r="I6" s="76"/>
      <c r="J6" s="102"/>
      <c r="K6" s="5"/>
      <c r="L6" s="75"/>
      <c r="M6" s="75"/>
    </row>
    <row r="7" spans="1:13" ht="31.5" customHeight="1">
      <c r="A7" s="218"/>
      <c r="B7" s="7"/>
      <c r="C7" s="8">
        <f>SUM(C3:C6)</f>
        <v>36</v>
      </c>
      <c r="D7" s="90">
        <f>SUM(D3:D6)</f>
        <v>5</v>
      </c>
      <c r="E7" s="7"/>
      <c r="F7" s="86">
        <f>SUM(F3:F5)</f>
        <v>42</v>
      </c>
      <c r="G7" s="8">
        <v>5</v>
      </c>
      <c r="H7" s="7"/>
      <c r="I7" s="87">
        <f>SUM(I3:I6)</f>
        <v>28</v>
      </c>
      <c r="J7" s="88">
        <f>SUM(J3:J6)</f>
        <v>5</v>
      </c>
      <c r="K7" s="7"/>
      <c r="L7" s="8">
        <f>SUM(L3:L6)</f>
        <v>32</v>
      </c>
      <c r="M7" s="60">
        <f>SUM(M3:M6)</f>
        <v>5</v>
      </c>
    </row>
    <row r="8" spans="1:13" ht="31.5" customHeight="1">
      <c r="A8" s="219" t="s">
        <v>54</v>
      </c>
      <c r="B8" s="82" t="s">
        <v>55</v>
      </c>
      <c r="C8" s="106">
        <v>42</v>
      </c>
      <c r="D8" s="106">
        <v>8</v>
      </c>
      <c r="E8" s="108" t="s">
        <v>79</v>
      </c>
      <c r="F8" s="106">
        <v>38</v>
      </c>
      <c r="G8" s="95">
        <v>5</v>
      </c>
      <c r="H8" s="178" t="s">
        <v>113</v>
      </c>
      <c r="I8" s="107">
        <v>22</v>
      </c>
      <c r="J8" s="4">
        <v>2</v>
      </c>
      <c r="K8" s="93" t="s">
        <v>124</v>
      </c>
      <c r="L8" s="73">
        <v>78</v>
      </c>
      <c r="M8" s="4"/>
    </row>
    <row r="9" spans="1:13" ht="31.5" customHeight="1">
      <c r="A9" s="219"/>
      <c r="B9" s="105" t="s">
        <v>67</v>
      </c>
      <c r="C9" s="107">
        <v>12</v>
      </c>
      <c r="D9" s="107">
        <v>2</v>
      </c>
      <c r="E9" s="108" t="s">
        <v>78</v>
      </c>
      <c r="F9" s="6">
        <v>40</v>
      </c>
      <c r="G9" s="92">
        <v>5</v>
      </c>
      <c r="H9" s="171" t="s">
        <v>115</v>
      </c>
      <c r="I9" s="205">
        <v>44</v>
      </c>
      <c r="J9" s="6">
        <v>5</v>
      </c>
      <c r="K9" s="51"/>
      <c r="L9" s="74"/>
      <c r="M9" s="57"/>
    </row>
    <row r="10" spans="1:13" ht="31.5" customHeight="1">
      <c r="A10" s="219"/>
      <c r="B10" s="81"/>
      <c r="C10" s="6"/>
      <c r="D10" s="6"/>
      <c r="E10" s="93" t="s">
        <v>119</v>
      </c>
      <c r="F10" s="85">
        <v>40</v>
      </c>
      <c r="G10" s="92">
        <v>5</v>
      </c>
      <c r="H10" s="171" t="s">
        <v>114</v>
      </c>
      <c r="I10" s="205">
        <v>17</v>
      </c>
      <c r="J10" s="52">
        <v>2</v>
      </c>
      <c r="K10" s="5"/>
      <c r="L10" s="75"/>
      <c r="M10" s="6"/>
    </row>
    <row r="11" spans="1:13" ht="31.5" customHeight="1">
      <c r="A11" s="219"/>
      <c r="B11" s="84"/>
      <c r="C11" s="85"/>
      <c r="D11" s="6"/>
      <c r="E11" s="91"/>
      <c r="F11" s="97"/>
      <c r="G11" s="96"/>
      <c r="H11" s="93" t="s">
        <v>121</v>
      </c>
      <c r="I11" s="9">
        <v>20</v>
      </c>
      <c r="J11" s="56">
        <v>5</v>
      </c>
      <c r="K11" s="5"/>
      <c r="L11" s="75"/>
      <c r="M11" s="6"/>
    </row>
    <row r="12" spans="1:13" ht="31.5" customHeight="1">
      <c r="A12" s="219"/>
      <c r="B12" s="7"/>
      <c r="C12" s="10">
        <f>SUM(C8:C11)</f>
        <v>54</v>
      </c>
      <c r="D12" s="10">
        <f>SUM(D8:D11)</f>
        <v>10</v>
      </c>
      <c r="E12" s="7"/>
      <c r="F12" s="98">
        <f>SUM(F8:F11)</f>
        <v>118</v>
      </c>
      <c r="G12" s="59">
        <f>SUM(G8:G11)</f>
        <v>15</v>
      </c>
      <c r="H12" s="7"/>
      <c r="I12" s="77">
        <f>SUM(I8:I11)</f>
        <v>103</v>
      </c>
      <c r="J12" s="59">
        <f>SUM(J8:J11)</f>
        <v>14</v>
      </c>
      <c r="K12" s="7"/>
      <c r="L12" s="10">
        <f>SUM(L8:L11)</f>
        <v>78</v>
      </c>
      <c r="M12" s="10">
        <v>12</v>
      </c>
    </row>
    <row r="13" spans="1:13" ht="31.5" customHeight="1">
      <c r="A13" s="220" t="s">
        <v>56</v>
      </c>
      <c r="B13" s="212" t="s">
        <v>155</v>
      </c>
      <c r="C13" s="106">
        <v>26</v>
      </c>
      <c r="D13" s="4">
        <v>4</v>
      </c>
      <c r="E13" s="172" t="s">
        <v>116</v>
      </c>
      <c r="F13" s="4">
        <v>70</v>
      </c>
      <c r="G13" s="73">
        <v>5</v>
      </c>
      <c r="H13" s="212" t="s">
        <v>154</v>
      </c>
      <c r="I13" s="198">
        <v>54</v>
      </c>
      <c r="J13" s="4">
        <v>6</v>
      </c>
      <c r="K13" s="93" t="s">
        <v>150</v>
      </c>
      <c r="L13" s="58">
        <v>82</v>
      </c>
      <c r="M13" s="58">
        <v>10</v>
      </c>
    </row>
    <row r="14" spans="1:13" ht="31.5" customHeight="1">
      <c r="A14" s="220"/>
      <c r="B14" s="173" t="s">
        <v>117</v>
      </c>
      <c r="C14" s="107">
        <v>95</v>
      </c>
      <c r="D14" s="6">
        <v>11</v>
      </c>
      <c r="E14" s="93" t="s">
        <v>120</v>
      </c>
      <c r="F14" s="85">
        <v>20</v>
      </c>
      <c r="G14" s="75">
        <v>5</v>
      </c>
      <c r="H14" s="93" t="s">
        <v>122</v>
      </c>
      <c r="I14" s="6">
        <v>20</v>
      </c>
      <c r="J14" s="6">
        <v>5</v>
      </c>
      <c r="K14" s="93" t="s">
        <v>149</v>
      </c>
      <c r="L14" s="57"/>
      <c r="M14" s="57">
        <v>3</v>
      </c>
    </row>
    <row r="15" spans="1:13" ht="31.5" customHeight="1">
      <c r="A15" s="220"/>
      <c r="B15" s="7"/>
      <c r="C15" s="11">
        <f>SUM(C13:C14)</f>
        <v>121</v>
      </c>
      <c r="D15" s="11">
        <f>SUM(D13:D14)</f>
        <v>15</v>
      </c>
      <c r="E15" s="7"/>
      <c r="F15" s="11">
        <f>SUM(F13:F14)</f>
        <v>90</v>
      </c>
      <c r="G15" s="53">
        <f>SUM(G13:G14)</f>
        <v>10</v>
      </c>
      <c r="H15" s="7"/>
      <c r="I15" s="53">
        <f>SUM(I13:I14)</f>
        <v>74</v>
      </c>
      <c r="J15" s="54">
        <f>SUM(J13:J14)</f>
        <v>11</v>
      </c>
      <c r="K15" s="7"/>
      <c r="L15" s="55">
        <f>SUM(L13:L14)</f>
        <v>82</v>
      </c>
      <c r="M15" s="53">
        <v>13</v>
      </c>
    </row>
    <row r="16" spans="1:13">
      <c r="B16" s="14" t="s">
        <v>61</v>
      </c>
      <c r="C16" s="128">
        <f>C7+C12+C15</f>
        <v>211</v>
      </c>
      <c r="D16" s="128">
        <f>D7+D12+D15</f>
        <v>30</v>
      </c>
      <c r="E16" s="14" t="s">
        <v>62</v>
      </c>
      <c r="F16" s="128">
        <f>F7+F12+F15</f>
        <v>250</v>
      </c>
      <c r="G16" s="128">
        <f>G7+G12+G15</f>
        <v>30</v>
      </c>
      <c r="H16" s="14" t="s">
        <v>63</v>
      </c>
      <c r="I16" s="129">
        <f>SUM(I15,I12,I7)</f>
        <v>205</v>
      </c>
      <c r="J16" s="129">
        <f>SUM(J15,J12,J7)</f>
        <v>30</v>
      </c>
      <c r="K16" s="14" t="s">
        <v>64</v>
      </c>
      <c r="L16" s="128">
        <f>L7+L12+L15</f>
        <v>192</v>
      </c>
      <c r="M16" s="128">
        <f>M7+M12+M15</f>
        <v>30</v>
      </c>
    </row>
    <row r="18" spans="2:11">
      <c r="B18" s="71" t="s">
        <v>4</v>
      </c>
      <c r="C18" s="15">
        <f>SUM(D7+G7+J7+M7)</f>
        <v>20</v>
      </c>
      <c r="H18" s="83"/>
    </row>
    <row r="19" spans="2:11">
      <c r="B19" s="16" t="s">
        <v>5</v>
      </c>
      <c r="C19" s="15">
        <f>SUM(D12+G12+J12+M12)</f>
        <v>51</v>
      </c>
      <c r="G19" s="1"/>
      <c r="H19" s="89"/>
      <c r="I19" s="70"/>
      <c r="J19" s="14"/>
      <c r="K19" s="70"/>
    </row>
    <row r="20" spans="2:11">
      <c r="B20" s="17" t="s">
        <v>6</v>
      </c>
      <c r="C20" s="15">
        <f>SUM(D15+G15+J15+M15)</f>
        <v>49</v>
      </c>
      <c r="H20" s="89"/>
      <c r="I20" s="70"/>
      <c r="J20" s="14"/>
      <c r="K20" s="70"/>
    </row>
    <row r="21" spans="2:11">
      <c r="C21" s="72">
        <f>SUM(C18:C20)</f>
        <v>120</v>
      </c>
    </row>
  </sheetData>
  <mergeCells count="7">
    <mergeCell ref="K1:M1"/>
    <mergeCell ref="A3:A7"/>
    <mergeCell ref="A8:A12"/>
    <mergeCell ref="A13:A15"/>
    <mergeCell ref="B1:D1"/>
    <mergeCell ref="E1:G1"/>
    <mergeCell ref="H1:J1"/>
  </mergeCells>
  <pageMargins left="0.31496062992125984" right="0.31496062992125984" top="0.3543307086614173" bottom="0.55118110236220474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56025-53A8-4786-9A8E-4507C77A0040}">
  <sheetPr>
    <tabColor theme="4" tint="0.39997558519241921"/>
    <pageSetUpPr fitToPage="1"/>
  </sheetPr>
  <dimension ref="A1:O60"/>
  <sheetViews>
    <sheetView topLeftCell="A35" zoomScale="85" zoomScaleNormal="85" workbookViewId="0">
      <selection activeCell="C59" sqref="C59"/>
    </sheetView>
  </sheetViews>
  <sheetFormatPr baseColWidth="10" defaultRowHeight="15" customHeight="1"/>
  <cols>
    <col min="1" max="1" width="16" customWidth="1"/>
    <col min="3" max="3" width="68.7109375" customWidth="1"/>
    <col min="4" max="4" width="64.28515625" hidden="1" customWidth="1"/>
    <col min="5" max="5" width="0" hidden="1" customWidth="1"/>
    <col min="6" max="6" width="53.7109375" hidden="1" customWidth="1"/>
    <col min="7" max="7" width="0" hidden="1" customWidth="1"/>
    <col min="11" max="11" width="12.42578125" customWidth="1"/>
  </cols>
  <sheetData>
    <row r="1" spans="1:15" ht="21">
      <c r="A1" s="232" t="s">
        <v>7</v>
      </c>
      <c r="B1" s="233"/>
      <c r="C1" s="233"/>
      <c r="D1" s="234"/>
      <c r="E1" s="18"/>
      <c r="F1" s="19"/>
      <c r="G1" s="18"/>
      <c r="H1" s="20"/>
      <c r="I1" s="20"/>
      <c r="J1" s="20"/>
    </row>
    <row r="2" spans="1:15" ht="21.75" thickBot="1">
      <c r="A2" s="235" t="s">
        <v>65</v>
      </c>
      <c r="B2" s="236"/>
      <c r="C2" s="236"/>
      <c r="D2" s="237"/>
      <c r="E2" s="21"/>
      <c r="F2" s="22"/>
      <c r="G2" s="21"/>
      <c r="H2" s="23"/>
      <c r="I2" s="23"/>
      <c r="J2" s="23"/>
    </row>
    <row r="3" spans="1:15" ht="15" customHeight="1" thickBot="1">
      <c r="B3" s="24"/>
      <c r="C3" s="24"/>
      <c r="D3" s="24"/>
      <c r="E3" s="25"/>
      <c r="F3" s="23"/>
      <c r="G3" s="25"/>
      <c r="H3" s="23"/>
      <c r="I3" s="23"/>
      <c r="J3" s="23"/>
    </row>
    <row r="4" spans="1:15" ht="15" customHeight="1" thickBot="1">
      <c r="A4" s="238" t="s">
        <v>8</v>
      </c>
      <c r="B4" s="239"/>
      <c r="C4" s="239"/>
      <c r="D4" s="239"/>
      <c r="E4" s="239"/>
      <c r="F4" s="239"/>
      <c r="G4" s="239"/>
      <c r="H4" s="240" t="s">
        <v>9</v>
      </c>
      <c r="I4" s="241"/>
      <c r="J4" s="242"/>
      <c r="L4" s="224" t="s">
        <v>49</v>
      </c>
    </row>
    <row r="5" spans="1:15" s="1" customFormat="1" ht="15" customHeight="1" thickBot="1">
      <c r="A5" s="227" t="s">
        <v>10</v>
      </c>
      <c r="B5" s="228"/>
      <c r="C5" s="228"/>
      <c r="D5" s="228"/>
      <c r="E5" s="228"/>
      <c r="F5" s="228"/>
      <c r="G5" s="228"/>
      <c r="H5" s="243"/>
      <c r="I5" s="244"/>
      <c r="J5" s="245"/>
      <c r="L5" s="225"/>
    </row>
    <row r="6" spans="1:15" s="1" customFormat="1" ht="15" customHeight="1" thickBot="1">
      <c r="A6" s="130" t="s">
        <v>11</v>
      </c>
      <c r="B6" s="131" t="s">
        <v>12</v>
      </c>
      <c r="C6" s="131" t="s">
        <v>13</v>
      </c>
      <c r="D6" s="132" t="s">
        <v>14</v>
      </c>
      <c r="E6" s="133" t="s">
        <v>15</v>
      </c>
      <c r="F6" s="132" t="s">
        <v>16</v>
      </c>
      <c r="G6" s="134" t="s">
        <v>15</v>
      </c>
      <c r="H6" s="184" t="s">
        <v>17</v>
      </c>
      <c r="I6" s="183" t="s">
        <v>18</v>
      </c>
      <c r="J6" s="135" t="s">
        <v>129</v>
      </c>
      <c r="L6" s="226"/>
      <c r="N6" s="70" t="s">
        <v>135</v>
      </c>
      <c r="O6" s="70" t="s">
        <v>136</v>
      </c>
    </row>
    <row r="7" spans="1:15" s="1" customFormat="1" ht="15" customHeight="1">
      <c r="A7" s="26"/>
      <c r="B7" s="27"/>
      <c r="C7" s="103" t="str">
        <f>_xlfn.CONCAT("ECUE 1.11 ", 'MAQUETTE MS PARCOURS PCTM'!B3)</f>
        <v xml:space="preserve">ECUE 1.11 Introduction aux innovations sociétales </v>
      </c>
      <c r="D7" s="103" t="str">
        <f>C7</f>
        <v xml:space="preserve">ECUE 1.11 Introduction aux innovations sociétales </v>
      </c>
      <c r="E7" s="28">
        <f t="shared" ref="E7:E14" si="0">LEN(D7)</f>
        <v>50</v>
      </c>
      <c r="F7" s="180" t="s">
        <v>132</v>
      </c>
      <c r="G7" s="29">
        <f>LEN(F7)</f>
        <v>22</v>
      </c>
      <c r="H7" s="194"/>
      <c r="I7" s="195">
        <v>8</v>
      </c>
      <c r="J7" s="65"/>
      <c r="L7" s="176">
        <f>(H7*1.5)+(J7/1.5)+I7</f>
        <v>8</v>
      </c>
      <c r="N7" s="1">
        <f>'MAQUETTE MS PARCOURS PCTM'!C3</f>
        <v>8</v>
      </c>
      <c r="O7" s="189">
        <f>SUM(H7:J7)</f>
        <v>8</v>
      </c>
    </row>
    <row r="8" spans="1:15" s="1" customFormat="1" ht="15" customHeight="1">
      <c r="A8" s="26"/>
      <c r="B8" s="31"/>
      <c r="C8" s="104" t="str">
        <f>_xlfn.CONCAT("ECUE 1.12 ", 'MAQUETTE MS PARCOURS PCTM'!B4)</f>
        <v>ECUE 1.12 Innovation et RSE</v>
      </c>
      <c r="D8" s="103" t="str">
        <f t="shared" ref="D8:D13" si="1">C8</f>
        <v>ECUE 1.12 Innovation et RSE</v>
      </c>
      <c r="E8" s="32">
        <f t="shared" si="0"/>
        <v>27</v>
      </c>
      <c r="F8" s="179" t="s">
        <v>133</v>
      </c>
      <c r="G8" s="33">
        <f t="shared" ref="G8:G14" si="2">LEN(F8)</f>
        <v>22</v>
      </c>
      <c r="H8" s="196"/>
      <c r="I8" s="197">
        <v>20</v>
      </c>
      <c r="J8" s="63"/>
      <c r="L8" s="176">
        <f t="shared" ref="L8:L12" si="3">(H8*1.5)+(J8/1.5)+I8</f>
        <v>20</v>
      </c>
      <c r="N8" s="1">
        <f>'MAQUETTE MS PARCOURS PCTM'!C4</f>
        <v>20</v>
      </c>
      <c r="O8" s="189">
        <f t="shared" ref="O8:O13" si="4">SUM(H8:J8)</f>
        <v>20</v>
      </c>
    </row>
    <row r="9" spans="1:15" ht="15" customHeight="1">
      <c r="A9" s="26"/>
      <c r="B9" s="27"/>
      <c r="C9" s="103" t="str">
        <f>_xlfn.CONCAT("ECUE 1.13 ",'MAQUETTE MS PARCOURS PCTM'!B5)</f>
        <v>ECUE 1.13 Propriété intellectuelle</v>
      </c>
      <c r="D9" s="103" t="str">
        <f t="shared" si="1"/>
        <v>ECUE 1.13 Propriété intellectuelle</v>
      </c>
      <c r="E9" s="28">
        <f t="shared" si="0"/>
        <v>34</v>
      </c>
      <c r="F9" s="180" t="s">
        <v>130</v>
      </c>
      <c r="G9" s="29">
        <f t="shared" si="2"/>
        <v>12</v>
      </c>
      <c r="H9" s="194"/>
      <c r="I9" s="195">
        <v>8</v>
      </c>
      <c r="J9" s="65"/>
      <c r="L9" s="176">
        <f t="shared" si="3"/>
        <v>8</v>
      </c>
      <c r="N9" s="1">
        <f>'MAQUETTE MS PARCOURS PCTM'!C5</f>
        <v>8</v>
      </c>
      <c r="O9" s="189">
        <f t="shared" si="4"/>
        <v>8</v>
      </c>
    </row>
    <row r="10" spans="1:15" s="1" customFormat="1" ht="15" customHeight="1">
      <c r="A10" s="26"/>
      <c r="B10" s="31"/>
      <c r="C10" s="104" t="str">
        <f>_xlfn.CONCAT("ECUE 2.11 ",'MAQUETTE MS PARCOURS PCTM'!B8)</f>
        <v>ECUE 2.11 Smart modelisation</v>
      </c>
      <c r="D10" s="103" t="str">
        <f t="shared" si="1"/>
        <v>ECUE 2.11 Smart modelisation</v>
      </c>
      <c r="E10" s="34">
        <f t="shared" si="0"/>
        <v>28</v>
      </c>
      <c r="F10" s="104" t="s">
        <v>66</v>
      </c>
      <c r="G10" s="33">
        <f t="shared" si="2"/>
        <v>28</v>
      </c>
      <c r="H10" s="196">
        <v>16</v>
      </c>
      <c r="I10" s="197">
        <v>26</v>
      </c>
      <c r="J10" s="63"/>
      <c r="L10" s="176">
        <f t="shared" si="3"/>
        <v>50</v>
      </c>
      <c r="N10" s="1">
        <f>'MAQUETTE MS PARCOURS PCTM'!C8</f>
        <v>42</v>
      </c>
      <c r="O10" s="189">
        <f t="shared" si="4"/>
        <v>42</v>
      </c>
    </row>
    <row r="11" spans="1:15" s="1" customFormat="1" ht="15" customHeight="1">
      <c r="A11" s="26"/>
      <c r="B11" s="31"/>
      <c r="C11" s="104" t="str">
        <f>_xlfn.CONCAT("ECUE 2.12 ",'MAQUETTE MS PARCOURS PCTM'!B9)</f>
        <v>ECUE 2.12 Intelligence artificielle pour l'innovation</v>
      </c>
      <c r="D11" s="103" t="str">
        <f t="shared" si="1"/>
        <v>ECUE 2.12 Intelligence artificielle pour l'innovation</v>
      </c>
      <c r="E11" s="32">
        <f t="shared" si="0"/>
        <v>53</v>
      </c>
      <c r="F11" s="104" t="s">
        <v>68</v>
      </c>
      <c r="G11" s="33">
        <f t="shared" si="2"/>
        <v>12</v>
      </c>
      <c r="H11" s="196">
        <v>4</v>
      </c>
      <c r="I11" s="197">
        <v>8</v>
      </c>
      <c r="J11" s="63"/>
      <c r="L11" s="176">
        <f t="shared" si="3"/>
        <v>14</v>
      </c>
      <c r="N11" s="1">
        <f>'MAQUETTE MS PARCOURS PCTM'!C9</f>
        <v>12</v>
      </c>
      <c r="O11" s="189">
        <f t="shared" si="4"/>
        <v>12</v>
      </c>
    </row>
    <row r="12" spans="1:15" ht="15" customHeight="1">
      <c r="A12" s="62"/>
      <c r="B12" s="31"/>
      <c r="C12" s="104" t="str">
        <f>_xlfn.CONCAT("ECUE 3.11 ",'MAQUETTE MS PARCOURS PCTM'!B13)</f>
        <v>ECUE 3.11 Acquisition des bases Design</v>
      </c>
      <c r="D12" s="103" t="str">
        <f t="shared" si="1"/>
        <v>ECUE 3.11 Acquisition des bases Design</v>
      </c>
      <c r="E12" s="32">
        <f t="shared" si="0"/>
        <v>38</v>
      </c>
      <c r="F12" s="104" t="s">
        <v>69</v>
      </c>
      <c r="G12" s="33">
        <f t="shared" si="2"/>
        <v>18</v>
      </c>
      <c r="H12" s="196">
        <v>8</v>
      </c>
      <c r="I12" s="197">
        <v>18</v>
      </c>
      <c r="J12" s="63"/>
      <c r="L12" s="176">
        <f t="shared" si="3"/>
        <v>30</v>
      </c>
      <c r="N12">
        <f>'MAQUETTE MS PARCOURS PCTM'!C13</f>
        <v>26</v>
      </c>
      <c r="O12" s="189">
        <f t="shared" si="4"/>
        <v>26</v>
      </c>
    </row>
    <row r="13" spans="1:15" ht="15" customHeight="1" thickBot="1">
      <c r="A13" s="62"/>
      <c r="B13" s="31"/>
      <c r="C13" s="104" t="str">
        <f>_xlfn.CONCAT("ECUE 3.12 ",'MAQUETTE MS PARCOURS PCTM'!B14)</f>
        <v>ECUE 3.12 Modélisation avancée du prototype</v>
      </c>
      <c r="D13" s="103" t="str">
        <f t="shared" si="1"/>
        <v>ECUE 3.12 Modélisation avancée du prototype</v>
      </c>
      <c r="E13" s="32">
        <f t="shared" si="0"/>
        <v>43</v>
      </c>
      <c r="F13" s="104" t="s">
        <v>70</v>
      </c>
      <c r="G13" s="33">
        <f t="shared" si="2"/>
        <v>25</v>
      </c>
      <c r="H13" s="196">
        <v>10</v>
      </c>
      <c r="I13" s="197">
        <v>85</v>
      </c>
      <c r="J13" s="63"/>
      <c r="L13" s="185">
        <f>(H13*1.5)+(J13/1.5)+I13</f>
        <v>100</v>
      </c>
      <c r="N13">
        <f>'MAQUETTE MS PARCOURS PCTM'!C14</f>
        <v>95</v>
      </c>
      <c r="O13" s="189">
        <f t="shared" si="4"/>
        <v>95</v>
      </c>
    </row>
    <row r="14" spans="1:15" s="1" customFormat="1" ht="15" customHeight="1" thickBot="1">
      <c r="A14" s="136"/>
      <c r="B14" s="137" t="s">
        <v>19</v>
      </c>
      <c r="C14" s="138" t="s">
        <v>71</v>
      </c>
      <c r="D14" s="138" t="s">
        <v>71</v>
      </c>
      <c r="E14" s="139">
        <f t="shared" si="0"/>
        <v>42</v>
      </c>
      <c r="F14" s="138" t="s">
        <v>71</v>
      </c>
      <c r="G14" s="140">
        <f t="shared" si="2"/>
        <v>42</v>
      </c>
      <c r="H14" s="141">
        <f>SUM(H7:H13)</f>
        <v>38</v>
      </c>
      <c r="I14" s="141">
        <f>SUM(I7:I13)</f>
        <v>173</v>
      </c>
      <c r="J14" s="142">
        <f>SUM(J7:J13)</f>
        <v>0</v>
      </c>
      <c r="L14" s="186">
        <f>SUM(L7:L13)</f>
        <v>230</v>
      </c>
      <c r="N14" s="191">
        <f>SUM(N7:N13)</f>
        <v>211</v>
      </c>
      <c r="O14" s="192">
        <f>SUM(O7:O13)</f>
        <v>211</v>
      </c>
    </row>
    <row r="15" spans="1:15" s="1" customFormat="1" ht="15" customHeight="1" thickBot="1">
      <c r="H15" s="229">
        <f>SUM(H14:J14)</f>
        <v>211</v>
      </c>
      <c r="I15" s="230"/>
      <c r="J15" s="231"/>
    </row>
    <row r="17" spans="1:15" ht="15" customHeight="1" thickBot="1">
      <c r="A17" s="238" t="s">
        <v>8</v>
      </c>
      <c r="B17" s="239"/>
      <c r="C17" s="239"/>
      <c r="D17" s="239"/>
      <c r="E17" s="239"/>
      <c r="F17" s="239"/>
      <c r="G17" s="239"/>
      <c r="H17" s="240" t="s">
        <v>9</v>
      </c>
      <c r="I17" s="241"/>
      <c r="J17" s="242"/>
      <c r="L17" s="246" t="s">
        <v>49</v>
      </c>
    </row>
    <row r="18" spans="1:15" ht="15" customHeight="1" thickBot="1">
      <c r="A18" s="227" t="s">
        <v>20</v>
      </c>
      <c r="B18" s="228"/>
      <c r="C18" s="228"/>
      <c r="D18" s="228"/>
      <c r="E18" s="228"/>
      <c r="F18" s="228"/>
      <c r="G18" s="228"/>
      <c r="H18" s="243"/>
      <c r="I18" s="244"/>
      <c r="J18" s="245"/>
      <c r="L18" s="247"/>
    </row>
    <row r="19" spans="1:15" ht="15" customHeight="1" thickBot="1">
      <c r="A19" s="130" t="s">
        <v>11</v>
      </c>
      <c r="B19" s="131" t="s">
        <v>12</v>
      </c>
      <c r="C19" s="131" t="s">
        <v>13</v>
      </c>
      <c r="D19" s="132" t="s">
        <v>14</v>
      </c>
      <c r="E19" s="133" t="s">
        <v>15</v>
      </c>
      <c r="F19" s="132" t="s">
        <v>16</v>
      </c>
      <c r="G19" s="134" t="s">
        <v>15</v>
      </c>
      <c r="H19" s="184" t="s">
        <v>17</v>
      </c>
      <c r="I19" s="183" t="s">
        <v>18</v>
      </c>
      <c r="J19" s="135" t="s">
        <v>129</v>
      </c>
      <c r="L19" s="248"/>
      <c r="N19" s="70" t="s">
        <v>135</v>
      </c>
      <c r="O19" s="70" t="s">
        <v>136</v>
      </c>
    </row>
    <row r="20" spans="1:15" ht="15" customHeight="1">
      <c r="A20" s="35"/>
      <c r="B20" s="31"/>
      <c r="C20" s="109" t="str">
        <f>_xlfn.CONCAT("ECUE 1.21 ",'MAQUETTE MS PARCOURS PCTM'!E3)</f>
        <v>ECUE 1.21 Gestion de projet</v>
      </c>
      <c r="D20" s="109" t="str">
        <f>C20</f>
        <v>ECUE 1.21 Gestion de projet</v>
      </c>
      <c r="E20" s="34">
        <f t="shared" ref="E20:G57" si="5">LEN(D20)</f>
        <v>27</v>
      </c>
      <c r="F20" s="109" t="s">
        <v>73</v>
      </c>
      <c r="G20" s="110">
        <f t="shared" ref="G20:G44" si="6">LEN(F20)</f>
        <v>22</v>
      </c>
      <c r="H20" s="196">
        <v>4</v>
      </c>
      <c r="I20" s="197">
        <v>10</v>
      </c>
      <c r="J20" s="199"/>
      <c r="L20" s="176">
        <f>(H20*1.5)+(J20/1.5)+I20</f>
        <v>16</v>
      </c>
      <c r="N20">
        <f>'MAQUETTE MS PARCOURS PCTM'!F3</f>
        <v>14</v>
      </c>
      <c r="O20" s="189">
        <f t="shared" ref="O20:O27" si="7">SUM(H20:J20)</f>
        <v>14</v>
      </c>
    </row>
    <row r="21" spans="1:15" ht="15" customHeight="1">
      <c r="A21" s="35"/>
      <c r="B21" s="31"/>
      <c r="C21" s="109" t="str">
        <f>_xlfn.CONCAT("ECUE 1.22 ",'MAQUETTE MS PARCOURS PCTM'!E4)</f>
        <v>ECUE 1.22 Communication professionnelle</v>
      </c>
      <c r="D21" s="109" t="str">
        <f t="shared" ref="D21:D27" si="8">C21</f>
        <v>ECUE 1.22 Communication professionnelle</v>
      </c>
      <c r="E21" s="34">
        <f t="shared" si="5"/>
        <v>39</v>
      </c>
      <c r="F21" s="109" t="s">
        <v>74</v>
      </c>
      <c r="G21" s="110">
        <f t="shared" si="6"/>
        <v>23</v>
      </c>
      <c r="H21" s="196"/>
      <c r="I21" s="197">
        <v>8</v>
      </c>
      <c r="J21" s="199"/>
      <c r="L21" s="176">
        <f t="shared" ref="L21:L27" si="9">(H21*1.5)+(J21/1.5)+I21</f>
        <v>8</v>
      </c>
      <c r="N21">
        <f>'MAQUETTE MS PARCOURS PCTM'!F4</f>
        <v>8</v>
      </c>
      <c r="O21" s="189">
        <f t="shared" si="7"/>
        <v>8</v>
      </c>
    </row>
    <row r="22" spans="1:15" ht="15" customHeight="1">
      <c r="A22" s="35"/>
      <c r="B22" s="31"/>
      <c r="C22" s="109" t="str">
        <f>_xlfn.CONCAT("ECUE 1.23 ",'MAQUETTE MS PARCOURS PCTM'!E5)</f>
        <v>ECUE 1.23 Marathon  : projet industriel 1</v>
      </c>
      <c r="D22" s="109" t="str">
        <f t="shared" si="8"/>
        <v>ECUE 1.23 Marathon  : projet industriel 1</v>
      </c>
      <c r="E22" s="34">
        <f t="shared" si="5"/>
        <v>41</v>
      </c>
      <c r="F22" s="109" t="s">
        <v>75</v>
      </c>
      <c r="G22" s="110">
        <f t="shared" si="6"/>
        <v>20</v>
      </c>
      <c r="H22" s="196"/>
      <c r="I22" s="197">
        <v>20</v>
      </c>
      <c r="J22" s="199"/>
      <c r="L22" s="176">
        <f t="shared" si="9"/>
        <v>20</v>
      </c>
      <c r="N22">
        <f>'MAQUETTE MS PARCOURS PCTM'!F5</f>
        <v>20</v>
      </c>
      <c r="O22" s="189">
        <f t="shared" si="7"/>
        <v>20</v>
      </c>
    </row>
    <row r="23" spans="1:15" s="1" customFormat="1" ht="15" customHeight="1">
      <c r="A23" s="35"/>
      <c r="B23" s="31"/>
      <c r="C23" s="109" t="str">
        <f>_xlfn.CONCAT("ECUE 2.21 ",'MAQUETTE MS PARCOURS PCTM'!E8)</f>
        <v>ECUE 2.21 Innovation : partie puissance</v>
      </c>
      <c r="D23" s="109" t="str">
        <f t="shared" si="8"/>
        <v>ECUE 2.21 Innovation : partie puissance</v>
      </c>
      <c r="E23" s="34">
        <f t="shared" si="5"/>
        <v>39</v>
      </c>
      <c r="F23" s="109" t="s">
        <v>76</v>
      </c>
      <c r="G23" s="110">
        <f t="shared" si="6"/>
        <v>19</v>
      </c>
      <c r="H23" s="196">
        <v>8</v>
      </c>
      <c r="I23" s="197">
        <v>12</v>
      </c>
      <c r="J23" s="199">
        <v>18</v>
      </c>
      <c r="L23" s="176">
        <f t="shared" si="9"/>
        <v>36</v>
      </c>
      <c r="N23" s="1">
        <f>'MAQUETTE MS PARCOURS PCTM'!F8</f>
        <v>38</v>
      </c>
      <c r="O23" s="189">
        <f t="shared" si="7"/>
        <v>38</v>
      </c>
    </row>
    <row r="24" spans="1:15" s="1" customFormat="1" ht="15" customHeight="1">
      <c r="A24" s="80"/>
      <c r="B24" s="61"/>
      <c r="C24" s="109" t="str">
        <f>_xlfn.CONCAT("ECUE 2.22 ",'MAQUETTE MS PARCOURS PCTM'!E9)</f>
        <v>ECUE 2.22 Innovation : partie commande</v>
      </c>
      <c r="D24" s="109" t="str">
        <f t="shared" si="8"/>
        <v>ECUE 2.22 Innovation : partie commande</v>
      </c>
      <c r="E24" s="34">
        <f t="shared" si="5"/>
        <v>38</v>
      </c>
      <c r="F24" s="109" t="s">
        <v>77</v>
      </c>
      <c r="G24" s="110">
        <f t="shared" si="6"/>
        <v>18</v>
      </c>
      <c r="H24" s="196">
        <v>10</v>
      </c>
      <c r="I24" s="197">
        <v>14</v>
      </c>
      <c r="J24" s="199">
        <v>16</v>
      </c>
      <c r="L24" s="185">
        <f t="shared" si="9"/>
        <v>39.666666666666664</v>
      </c>
      <c r="N24" s="1">
        <f>'MAQUETTE MS PARCOURS PCTM'!F9</f>
        <v>40</v>
      </c>
      <c r="O24" s="189">
        <f t="shared" si="7"/>
        <v>40</v>
      </c>
    </row>
    <row r="25" spans="1:15" s="1" customFormat="1" ht="15" customHeight="1">
      <c r="A25" s="80"/>
      <c r="B25" s="31"/>
      <c r="C25" s="109" t="str">
        <f>_xlfn.CONCAT("ECUE 2.23 ",'MAQUETTE MS PARCOURS PCTM'!E10)</f>
        <v>ECUE 2.23 Marathon  : projet industriel 2</v>
      </c>
      <c r="D25" s="109" t="str">
        <f t="shared" si="8"/>
        <v>ECUE 2.23 Marathon  : projet industriel 2</v>
      </c>
      <c r="E25" s="34">
        <f t="shared" si="5"/>
        <v>41</v>
      </c>
      <c r="F25" s="109" t="s">
        <v>80</v>
      </c>
      <c r="G25" s="110">
        <f t="shared" si="6"/>
        <v>21</v>
      </c>
      <c r="H25" s="196"/>
      <c r="I25" s="197">
        <v>40</v>
      </c>
      <c r="J25" s="199"/>
      <c r="L25" s="176">
        <f t="shared" si="9"/>
        <v>40</v>
      </c>
      <c r="N25" s="1">
        <f>'MAQUETTE MS PARCOURS PCTM'!F10</f>
        <v>40</v>
      </c>
      <c r="O25" s="189">
        <f t="shared" si="7"/>
        <v>40</v>
      </c>
    </row>
    <row r="26" spans="1:15" s="1" customFormat="1" ht="15" customHeight="1">
      <c r="A26" s="80"/>
      <c r="B26" s="31"/>
      <c r="C26" s="109" t="str">
        <f>_xlfn.CONCAT("ECUE 3.21 ",'MAQUETTE MS PARCOURS PCTM'!E13)</f>
        <v>ECUE 3.21 Fast Prototypage</v>
      </c>
      <c r="D26" s="109" t="str">
        <f t="shared" si="8"/>
        <v>ECUE 3.21 Fast Prototypage</v>
      </c>
      <c r="E26" s="34">
        <f t="shared" si="5"/>
        <v>26</v>
      </c>
      <c r="F26" s="109" t="s">
        <v>81</v>
      </c>
      <c r="G26" s="110">
        <f t="shared" si="6"/>
        <v>21</v>
      </c>
      <c r="H26" s="196">
        <v>12</v>
      </c>
      <c r="I26" s="197">
        <v>10</v>
      </c>
      <c r="J26" s="199">
        <v>48</v>
      </c>
      <c r="L26" s="176">
        <f t="shared" si="9"/>
        <v>60</v>
      </c>
      <c r="N26" s="1">
        <f>'MAQUETTE MS PARCOURS PCTM'!I13</f>
        <v>54</v>
      </c>
      <c r="O26" s="189">
        <f t="shared" si="7"/>
        <v>70</v>
      </c>
    </row>
    <row r="27" spans="1:15" s="1" customFormat="1" ht="15" customHeight="1" thickBot="1">
      <c r="A27" s="80"/>
      <c r="B27" s="31"/>
      <c r="C27" s="109" t="str">
        <f>_xlfn.CONCAT("ECUE 3.22 ",'MAQUETTE MS PARCOURS PCTM'!E14)</f>
        <v>ECUE 3.22 Marathon  : projet industriel 3</v>
      </c>
      <c r="D27" s="109" t="str">
        <f t="shared" si="8"/>
        <v>ECUE 3.22 Marathon  : projet industriel 3</v>
      </c>
      <c r="E27" s="34">
        <f t="shared" si="5"/>
        <v>41</v>
      </c>
      <c r="F27" s="109" t="s">
        <v>82</v>
      </c>
      <c r="G27" s="110">
        <f t="shared" si="6"/>
        <v>20</v>
      </c>
      <c r="H27" s="196"/>
      <c r="I27" s="197">
        <v>20</v>
      </c>
      <c r="J27" s="199"/>
      <c r="L27" s="176">
        <f t="shared" si="9"/>
        <v>20</v>
      </c>
      <c r="N27" s="1">
        <f>'MAQUETTE MS PARCOURS PCTM'!I14</f>
        <v>20</v>
      </c>
      <c r="O27" s="189">
        <f t="shared" si="7"/>
        <v>20</v>
      </c>
    </row>
    <row r="28" spans="1:15" ht="15" customHeight="1" thickBot="1">
      <c r="A28" s="136"/>
      <c r="B28" s="137" t="s">
        <v>21</v>
      </c>
      <c r="C28" s="138" t="s">
        <v>72</v>
      </c>
      <c r="D28" s="138" t="s">
        <v>72</v>
      </c>
      <c r="E28" s="139">
        <f t="shared" si="5"/>
        <v>42</v>
      </c>
      <c r="F28" s="138" t="s">
        <v>72</v>
      </c>
      <c r="G28" s="140"/>
      <c r="H28" s="141">
        <f>SUM(H20:H27)</f>
        <v>34</v>
      </c>
      <c r="I28" s="141">
        <f>SUM(I20:I27)</f>
        <v>134</v>
      </c>
      <c r="J28" s="142">
        <f>SUM(J20:J27)</f>
        <v>82</v>
      </c>
      <c r="L28" s="187">
        <f>SUM(L20:L27)</f>
        <v>239.66666666666666</v>
      </c>
      <c r="N28" s="191">
        <f>SUM(N20:N27)</f>
        <v>234</v>
      </c>
      <c r="O28" s="192">
        <f>SUM(O20:O27)</f>
        <v>250</v>
      </c>
    </row>
    <row r="29" spans="1:15" ht="15" customHeight="1" thickBot="1">
      <c r="A29" s="1"/>
      <c r="B29" s="1"/>
      <c r="C29" s="1"/>
      <c r="D29" s="1"/>
      <c r="E29" s="1"/>
      <c r="F29" s="1"/>
      <c r="G29" s="1"/>
      <c r="H29" s="229">
        <f>SUM(H28:J28)</f>
        <v>250</v>
      </c>
      <c r="I29" s="230"/>
      <c r="J29" s="231"/>
      <c r="K29" s="190" t="s">
        <v>50</v>
      </c>
      <c r="L29" s="186">
        <f>L14+L28</f>
        <v>469.66666666666663</v>
      </c>
    </row>
    <row r="30" spans="1:15" ht="15" customHeight="1" thickBot="1">
      <c r="A30" s="1"/>
      <c r="B30" s="1"/>
      <c r="C30" s="1"/>
      <c r="D30" s="1"/>
      <c r="E30" s="1"/>
      <c r="F30" s="1"/>
      <c r="G30" s="1"/>
      <c r="H30" s="36"/>
      <c r="I30" s="36"/>
      <c r="J30" s="1"/>
    </row>
    <row r="31" spans="1:15" ht="21">
      <c r="A31" s="232" t="s">
        <v>7</v>
      </c>
      <c r="B31" s="233"/>
      <c r="C31" s="233"/>
      <c r="D31" s="234"/>
      <c r="E31" s="18"/>
      <c r="F31" s="19"/>
      <c r="G31" s="18"/>
      <c r="H31" s="20"/>
      <c r="I31" s="20"/>
      <c r="J31" s="20"/>
    </row>
    <row r="32" spans="1:15" ht="21.75" thickBot="1">
      <c r="A32" s="235" t="s">
        <v>83</v>
      </c>
      <c r="B32" s="236"/>
      <c r="C32" s="236"/>
      <c r="D32" s="237"/>
      <c r="E32" s="21"/>
      <c r="F32" s="22"/>
      <c r="G32" s="21"/>
      <c r="H32" s="23"/>
      <c r="I32" s="23"/>
      <c r="J32" s="23"/>
    </row>
    <row r="34" spans="1:15" ht="15" customHeight="1" thickBot="1">
      <c r="A34" s="238" t="s">
        <v>8</v>
      </c>
      <c r="B34" s="239"/>
      <c r="C34" s="239"/>
      <c r="D34" s="239"/>
      <c r="E34" s="239"/>
      <c r="F34" s="239"/>
      <c r="G34" s="239"/>
      <c r="H34" s="240" t="s">
        <v>9</v>
      </c>
      <c r="I34" s="241"/>
      <c r="J34" s="242"/>
      <c r="L34" s="224" t="s">
        <v>49</v>
      </c>
    </row>
    <row r="35" spans="1:15" ht="15" customHeight="1" thickBot="1">
      <c r="A35" s="227" t="s">
        <v>22</v>
      </c>
      <c r="B35" s="228"/>
      <c r="C35" s="228"/>
      <c r="D35" s="228"/>
      <c r="E35" s="228"/>
      <c r="F35" s="228"/>
      <c r="G35" s="228"/>
      <c r="H35" s="243"/>
      <c r="I35" s="244"/>
      <c r="J35" s="245"/>
      <c r="L35" s="225"/>
    </row>
    <row r="36" spans="1:15" ht="15" customHeight="1" thickBot="1">
      <c r="A36" s="130" t="s">
        <v>11</v>
      </c>
      <c r="B36" s="131" t="s">
        <v>12</v>
      </c>
      <c r="C36" s="131" t="s">
        <v>13</v>
      </c>
      <c r="D36" s="132" t="s">
        <v>14</v>
      </c>
      <c r="E36" s="133" t="s">
        <v>15</v>
      </c>
      <c r="F36" s="132" t="s">
        <v>16</v>
      </c>
      <c r="G36" s="134" t="s">
        <v>15</v>
      </c>
      <c r="H36" s="184" t="s">
        <v>17</v>
      </c>
      <c r="I36" s="183" t="s">
        <v>18</v>
      </c>
      <c r="J36" s="135" t="s">
        <v>129</v>
      </c>
      <c r="L36" s="226"/>
      <c r="N36" s="70" t="s">
        <v>135</v>
      </c>
      <c r="O36" s="70" t="s">
        <v>136</v>
      </c>
    </row>
    <row r="37" spans="1:15" ht="15" customHeight="1">
      <c r="A37" s="26"/>
      <c r="B37" s="27"/>
      <c r="C37" s="103" t="str">
        <f>_xlfn.CONCAT("ECUE 1.31 ",'MAQUETTE MS PARCOURS PCTM'!H3)</f>
        <v>ECUE 1.31 Ergonomie de produits</v>
      </c>
      <c r="D37" s="103" t="str">
        <f>C37</f>
        <v>ECUE 1.31 Ergonomie de produits</v>
      </c>
      <c r="E37" s="28">
        <f t="shared" si="5"/>
        <v>31</v>
      </c>
      <c r="F37" s="180" t="s">
        <v>131</v>
      </c>
      <c r="G37" s="29">
        <f t="shared" si="6"/>
        <v>19</v>
      </c>
      <c r="H37" s="200"/>
      <c r="I37" s="201">
        <v>8</v>
      </c>
      <c r="J37" s="202"/>
      <c r="L37" s="176">
        <f>(H37*1.5)+(J37/1.5)+I37</f>
        <v>8</v>
      </c>
      <c r="N37">
        <f>'MAQUETTE MS PARCOURS PCTM'!I3</f>
        <v>8</v>
      </c>
      <c r="O37" s="189">
        <f>SUM(H37:J37)</f>
        <v>8</v>
      </c>
    </row>
    <row r="38" spans="1:15" ht="15" customHeight="1">
      <c r="A38" s="26"/>
      <c r="B38" s="31"/>
      <c r="C38" s="103" t="str">
        <f>_xlfn.CONCAT("ECUE 1.32 ",'MAQUETTE MS PARCOURS PCTM'!H4)</f>
        <v>ECUE 1.32 Méthodologie de l'innovation</v>
      </c>
      <c r="D38" s="103" t="str">
        <f t="shared" ref="D38:D44" si="10">C38</f>
        <v>ECUE 1.32 Méthodologie de l'innovation</v>
      </c>
      <c r="E38" s="32">
        <f t="shared" si="5"/>
        <v>38</v>
      </c>
      <c r="F38" s="179" t="s">
        <v>134</v>
      </c>
      <c r="G38" s="33">
        <f t="shared" si="6"/>
        <v>22</v>
      </c>
      <c r="H38" s="203"/>
      <c r="I38" s="204">
        <v>20</v>
      </c>
      <c r="J38" s="199"/>
      <c r="L38" s="176">
        <f t="shared" ref="L38:L44" si="11">(H38*1.5)+(J38/1.5)+I38</f>
        <v>20</v>
      </c>
      <c r="N38">
        <f>'MAQUETTE MS PARCOURS PCTM'!I4</f>
        <v>20</v>
      </c>
      <c r="O38" s="189">
        <f>SUM(H38:J38)</f>
        <v>20</v>
      </c>
    </row>
    <row r="39" spans="1:15" ht="15" customHeight="1">
      <c r="A39" s="62"/>
      <c r="B39" s="31"/>
      <c r="C39" s="103" t="str">
        <f>_xlfn.CONCAT("ECUE 2.31 ",'MAQUETTE MS PARCOURS PCTM'!H8)</f>
        <v>ECUE 2.31 Smart modélisation</v>
      </c>
      <c r="D39" s="103" t="str">
        <f t="shared" si="10"/>
        <v>ECUE 2.31 Smart modélisation</v>
      </c>
      <c r="E39" s="32">
        <f t="shared" si="5"/>
        <v>28</v>
      </c>
      <c r="F39" s="104" t="s">
        <v>96</v>
      </c>
      <c r="G39" s="33">
        <f t="shared" si="6"/>
        <v>24</v>
      </c>
      <c r="H39" s="203">
        <v>8</v>
      </c>
      <c r="I39" s="204">
        <v>14</v>
      </c>
      <c r="J39" s="199"/>
      <c r="L39" s="185">
        <f t="shared" si="11"/>
        <v>26</v>
      </c>
      <c r="N39">
        <f>'MAQUETTE MS PARCOURS PCTM'!I8</f>
        <v>22</v>
      </c>
      <c r="O39" s="189">
        <f>SUM(H39:J39)</f>
        <v>22</v>
      </c>
    </row>
    <row r="40" spans="1:15" ht="15" customHeight="1">
      <c r="A40" s="62"/>
      <c r="B40" s="31"/>
      <c r="C40" s="103" t="str">
        <f>_xlfn.CONCAT("ECUE 2.32 ",'MAQUETTE MS PARCOURS PCTM'!H9)</f>
        <v>ECUE 2.32 Smart Commande et pilotage</v>
      </c>
      <c r="D40" s="103" t="str">
        <f t="shared" si="10"/>
        <v>ECUE 2.32 Smart Commande et pilotage</v>
      </c>
      <c r="E40" s="32">
        <f t="shared" si="5"/>
        <v>36</v>
      </c>
      <c r="F40" s="104" t="s">
        <v>85</v>
      </c>
      <c r="G40" s="33">
        <f t="shared" si="6"/>
        <v>25</v>
      </c>
      <c r="H40" s="203">
        <v>10</v>
      </c>
      <c r="I40" s="204">
        <v>10</v>
      </c>
      <c r="J40" s="199">
        <v>24</v>
      </c>
      <c r="L40" s="185">
        <f t="shared" si="11"/>
        <v>41</v>
      </c>
      <c r="N40">
        <f>'MAQUETTE MS PARCOURS PCTM'!I9</f>
        <v>44</v>
      </c>
      <c r="O40" s="189">
        <f t="shared" ref="O40:O42" si="12">SUM(H40:J40)</f>
        <v>44</v>
      </c>
    </row>
    <row r="41" spans="1:15" ht="15" customHeight="1">
      <c r="A41" s="62"/>
      <c r="B41" s="31"/>
      <c r="C41" s="103" t="str">
        <f>_xlfn.CONCAT("ECUE 2.33 ",'MAQUETTE MS PARCOURS PCTM'!H10)</f>
        <v>ECUE 2.33 Smart matériaux</v>
      </c>
      <c r="D41" s="103" t="str">
        <f t="shared" si="10"/>
        <v>ECUE 2.33 Smart matériaux</v>
      </c>
      <c r="E41" s="32">
        <f t="shared" si="5"/>
        <v>25</v>
      </c>
      <c r="F41" s="104" t="s">
        <v>86</v>
      </c>
      <c r="G41" s="33">
        <f t="shared" si="6"/>
        <v>19</v>
      </c>
      <c r="H41" s="203">
        <v>6</v>
      </c>
      <c r="I41" s="204">
        <v>11</v>
      </c>
      <c r="J41" s="199"/>
      <c r="L41" s="185">
        <f t="shared" si="11"/>
        <v>20</v>
      </c>
      <c r="N41">
        <f>'MAQUETTE MS PARCOURS PCTM'!I10</f>
        <v>17</v>
      </c>
      <c r="O41" s="189">
        <f>SUM(H41:J41)</f>
        <v>17</v>
      </c>
    </row>
    <row r="42" spans="1:15" s="1" customFormat="1" ht="15" customHeight="1">
      <c r="A42" s="62"/>
      <c r="B42" s="31"/>
      <c r="C42" s="104" t="s">
        <v>87</v>
      </c>
      <c r="D42" s="103" t="str">
        <f t="shared" si="10"/>
        <v>ECUE 2.34 Marathon : projet industriel 4</v>
      </c>
      <c r="E42" s="32">
        <f t="shared" si="5"/>
        <v>40</v>
      </c>
      <c r="F42" s="104" t="s">
        <v>88</v>
      </c>
      <c r="G42" s="33">
        <f t="shared" si="6"/>
        <v>20</v>
      </c>
      <c r="H42" s="203"/>
      <c r="I42" s="204">
        <v>20</v>
      </c>
      <c r="J42" s="199"/>
      <c r="L42" s="176">
        <f t="shared" si="11"/>
        <v>20</v>
      </c>
      <c r="N42">
        <f>'MAQUETTE MS PARCOURS PCTM'!I11</f>
        <v>20</v>
      </c>
      <c r="O42" s="189">
        <f t="shared" si="12"/>
        <v>20</v>
      </c>
    </row>
    <row r="43" spans="1:15" s="1" customFormat="1" ht="15" customHeight="1">
      <c r="A43" s="62"/>
      <c r="B43" s="31"/>
      <c r="C43" s="174" t="str">
        <f>_xlfn.CONCAT("ECUE 3.31 ",'MAQUETTE MS PARCOURS PCTM'!H13)</f>
        <v>ECUE 3.31 Renforcement du design</v>
      </c>
      <c r="D43" s="103" t="str">
        <f t="shared" si="10"/>
        <v>ECUE 3.31 Renforcement du design</v>
      </c>
      <c r="E43" s="32">
        <f t="shared" si="5"/>
        <v>32</v>
      </c>
      <c r="F43" s="104" t="s">
        <v>89</v>
      </c>
      <c r="G43" s="33">
        <f t="shared" si="6"/>
        <v>18</v>
      </c>
      <c r="H43" s="203">
        <v>12</v>
      </c>
      <c r="I43" s="204">
        <v>42</v>
      </c>
      <c r="J43" s="199"/>
      <c r="L43" s="185">
        <f t="shared" si="11"/>
        <v>60</v>
      </c>
      <c r="N43" s="1">
        <f>'MAQUETTE MS PARCOURS PCTM'!I13</f>
        <v>54</v>
      </c>
      <c r="O43" s="189">
        <f>SUM(H43:J43)</f>
        <v>54</v>
      </c>
    </row>
    <row r="44" spans="1:15" s="1" customFormat="1" ht="15" customHeight="1" thickBot="1">
      <c r="A44" s="62"/>
      <c r="B44" s="61"/>
      <c r="C44" s="174" t="str">
        <f>_xlfn.CONCAT("ECUE 3.32 ",'MAQUETTE MS PARCOURS PCTM'!H14)</f>
        <v>ECUE 3.32 Marathon  : projet industriel 5</v>
      </c>
      <c r="D44" s="103" t="str">
        <f t="shared" si="10"/>
        <v>ECUE 3.32 Marathon  : projet industriel 5</v>
      </c>
      <c r="E44" s="34">
        <f t="shared" si="5"/>
        <v>41</v>
      </c>
      <c r="F44" s="104" t="s">
        <v>90</v>
      </c>
      <c r="G44" s="33">
        <f t="shared" si="6"/>
        <v>20</v>
      </c>
      <c r="H44" s="203"/>
      <c r="I44" s="204">
        <v>20</v>
      </c>
      <c r="J44" s="199"/>
      <c r="K44" s="64"/>
      <c r="L44" s="176">
        <f t="shared" si="11"/>
        <v>20</v>
      </c>
      <c r="N44" s="1">
        <f>'MAQUETTE MS PARCOURS PCTM'!I14</f>
        <v>20</v>
      </c>
      <c r="O44" s="189">
        <f>SUM(H44:J44)</f>
        <v>20</v>
      </c>
    </row>
    <row r="45" spans="1:15" ht="15" customHeight="1" thickBot="1">
      <c r="A45" s="136"/>
      <c r="B45" s="193" t="s">
        <v>137</v>
      </c>
      <c r="C45" s="138" t="s">
        <v>84</v>
      </c>
      <c r="D45" s="138" t="s">
        <v>84</v>
      </c>
      <c r="E45" s="139">
        <f t="shared" si="5"/>
        <v>42</v>
      </c>
      <c r="F45" s="138" t="s">
        <v>84</v>
      </c>
      <c r="G45" s="140"/>
      <c r="H45" s="141">
        <f>SUM(H37:H44)</f>
        <v>36</v>
      </c>
      <c r="I45" s="182">
        <f>SUM(I37:I44)</f>
        <v>145</v>
      </c>
      <c r="J45" s="181">
        <f>SUM(J37:J44)</f>
        <v>24</v>
      </c>
      <c r="L45" s="186">
        <f>SUM(L37:L44)</f>
        <v>215</v>
      </c>
      <c r="N45" s="191">
        <f>SUM(N37:N44)</f>
        <v>205</v>
      </c>
      <c r="O45" s="192">
        <f>SUM(O37:O44)</f>
        <v>205</v>
      </c>
    </row>
    <row r="46" spans="1:15" ht="15" customHeight="1" thickBot="1">
      <c r="A46" s="1"/>
      <c r="B46" s="1"/>
      <c r="C46" s="1"/>
      <c r="D46" s="1"/>
      <c r="E46" s="1"/>
      <c r="F46" s="1"/>
      <c r="G46" s="1"/>
      <c r="H46" s="229">
        <f>SUM(H45:J45)</f>
        <v>205</v>
      </c>
      <c r="I46" s="230"/>
      <c r="J46" s="231"/>
    </row>
    <row r="49" spans="1:15" ht="15" customHeight="1" thickBot="1">
      <c r="A49" s="238" t="s">
        <v>8</v>
      </c>
      <c r="B49" s="239"/>
      <c r="C49" s="239"/>
      <c r="D49" s="239"/>
      <c r="E49" s="239"/>
      <c r="F49" s="239"/>
      <c r="G49" s="239"/>
      <c r="H49" s="240" t="s">
        <v>9</v>
      </c>
      <c r="I49" s="241"/>
      <c r="J49" s="242"/>
      <c r="L49" s="224" t="s">
        <v>49</v>
      </c>
    </row>
    <row r="50" spans="1:15" ht="15" customHeight="1" thickBot="1">
      <c r="A50" s="227" t="s">
        <v>23</v>
      </c>
      <c r="B50" s="228"/>
      <c r="C50" s="228"/>
      <c r="D50" s="228"/>
      <c r="E50" s="228"/>
      <c r="F50" s="228"/>
      <c r="G50" s="228"/>
      <c r="H50" s="243"/>
      <c r="I50" s="244"/>
      <c r="J50" s="245"/>
      <c r="L50" s="225"/>
    </row>
    <row r="51" spans="1:15" ht="15" customHeight="1" thickBot="1">
      <c r="A51" s="130" t="s">
        <v>11</v>
      </c>
      <c r="B51" s="131" t="s">
        <v>12</v>
      </c>
      <c r="C51" s="131" t="s">
        <v>13</v>
      </c>
      <c r="D51" s="132" t="s">
        <v>14</v>
      </c>
      <c r="E51" s="133" t="s">
        <v>15</v>
      </c>
      <c r="F51" s="132" t="s">
        <v>16</v>
      </c>
      <c r="G51" s="134" t="s">
        <v>15</v>
      </c>
      <c r="H51" s="184" t="s">
        <v>17</v>
      </c>
      <c r="I51" s="183" t="s">
        <v>18</v>
      </c>
      <c r="J51" s="135" t="s">
        <v>129</v>
      </c>
      <c r="L51" s="226"/>
      <c r="N51" s="70" t="s">
        <v>135</v>
      </c>
      <c r="O51" s="70" t="s">
        <v>136</v>
      </c>
    </row>
    <row r="52" spans="1:15" ht="15" customHeight="1">
      <c r="A52" s="62"/>
      <c r="B52" s="66"/>
      <c r="C52" s="111" t="str">
        <f>_xlfn.CONCAT("ECUE 1.41 ",'MAQUETTE MS PARCOURS PCTM'!K3)</f>
        <v>ECUE 1.41 Initiation à l'entrepreneuriat</v>
      </c>
      <c r="D52" s="111" t="str">
        <f>C52</f>
        <v>ECUE 1.41 Initiation à l'entrepreneuriat</v>
      </c>
      <c r="E52" s="112">
        <f t="shared" si="5"/>
        <v>40</v>
      </c>
      <c r="F52" s="111" t="s">
        <v>93</v>
      </c>
      <c r="G52" s="113">
        <f t="shared" si="5"/>
        <v>25</v>
      </c>
      <c r="H52" s="194"/>
      <c r="I52" s="195">
        <v>12</v>
      </c>
      <c r="J52" s="30"/>
      <c r="L52" s="176">
        <f>(H52*1.5)+(J52/1.5)+I52</f>
        <v>12</v>
      </c>
      <c r="N52">
        <f>'MAQUETTE MS PARCOURS PCTM'!L3</f>
        <v>12</v>
      </c>
      <c r="O52" s="189">
        <f t="shared" ref="O52:O53" si="13">SUM(H52:J52)</f>
        <v>12</v>
      </c>
    </row>
    <row r="53" spans="1:15" ht="15" customHeight="1">
      <c r="A53" s="62"/>
      <c r="B53" s="66"/>
      <c r="C53" s="111" t="str">
        <f>_xlfn.CONCAT("ECUE 1.42 ",'MAQUETTE MS PARCOURS PCTM'!K4)</f>
        <v>ECUE 1.42 Marathon  : projet industriel 6</v>
      </c>
      <c r="D53" s="111" t="str">
        <f t="shared" ref="D53:D56" si="14">C53</f>
        <v>ECUE 1.42 Marathon  : projet industriel 6</v>
      </c>
      <c r="E53" s="112">
        <f t="shared" si="5"/>
        <v>41</v>
      </c>
      <c r="F53" s="111" t="s">
        <v>92</v>
      </c>
      <c r="G53" s="113">
        <f t="shared" si="5"/>
        <v>20</v>
      </c>
      <c r="H53" s="194"/>
      <c r="I53" s="195">
        <v>20</v>
      </c>
      <c r="J53" s="30"/>
      <c r="L53" s="176">
        <f t="shared" ref="L53" si="15">(H53*1.5)+(J53/1.5)+I53</f>
        <v>20</v>
      </c>
      <c r="N53">
        <f>'MAQUETTE MS PARCOURS PCTM'!L4</f>
        <v>20</v>
      </c>
      <c r="O53" s="189">
        <f t="shared" si="13"/>
        <v>20</v>
      </c>
    </row>
    <row r="54" spans="1:15" ht="15" customHeight="1">
      <c r="A54" s="62"/>
      <c r="B54" s="66"/>
      <c r="C54" s="111" t="str">
        <f>_xlfn.CONCAT("ECUE 2.41 ",'MAQUETTE MS PARCOURS PCTM'!K8)</f>
        <v>ECUE 2.41 Marathon  : projet industriel 7</v>
      </c>
      <c r="D54" s="111" t="str">
        <f t="shared" si="14"/>
        <v>ECUE 2.41 Marathon  : projet industriel 7</v>
      </c>
      <c r="E54" s="112">
        <f t="shared" si="5"/>
        <v>41</v>
      </c>
      <c r="F54" s="111" t="s">
        <v>94</v>
      </c>
      <c r="G54" s="113">
        <f t="shared" si="5"/>
        <v>20</v>
      </c>
      <c r="H54" s="194"/>
      <c r="I54" s="195">
        <v>78</v>
      </c>
      <c r="J54" s="30"/>
      <c r="L54" s="176">
        <f>(H54*1.5)+(J54/1.5)+I54</f>
        <v>78</v>
      </c>
      <c r="N54">
        <f>'MAQUETTE MS PARCOURS PCTM'!L8</f>
        <v>78</v>
      </c>
      <c r="O54" s="189">
        <f>SUM(H54:J54)</f>
        <v>78</v>
      </c>
    </row>
    <row r="55" spans="1:15" ht="15" customHeight="1">
      <c r="A55" s="62"/>
      <c r="B55" s="66"/>
      <c r="C55" s="111" t="str">
        <f>_xlfn.CONCAT("ECUE 3.41 ", 'MAQUETTE MS PARCOURS PCTM'!K13)</f>
        <v>ECUE 3.41 Marathon  : projet industriel 8</v>
      </c>
      <c r="D55" s="111"/>
      <c r="E55" s="112"/>
      <c r="F55" s="111"/>
      <c r="G55" s="113"/>
      <c r="H55" s="194"/>
      <c r="I55" s="195">
        <v>82</v>
      </c>
      <c r="J55" s="30"/>
      <c r="L55" s="176">
        <f>(H55*1.5)+(J55/1.5)+I55</f>
        <v>82</v>
      </c>
      <c r="N55">
        <f>'MAQUETTE MS PARCOURS PCTM'!L13</f>
        <v>82</v>
      </c>
      <c r="O55" s="189">
        <f t="shared" ref="O55:O56" si="16">SUM(H55:J55)</f>
        <v>82</v>
      </c>
    </row>
    <row r="56" spans="1:15" ht="15" customHeight="1" thickBot="1">
      <c r="A56" s="62"/>
      <c r="B56" s="66"/>
      <c r="C56" s="111" t="str">
        <f>_xlfn.CONCAT("ECUE 3.42 ", 'MAQUETTE MS PARCOURS PCTM'!K14)</f>
        <v>ECUE 3.42 Mémoire industriel</v>
      </c>
      <c r="D56" s="111" t="str">
        <f t="shared" si="14"/>
        <v>ECUE 3.42 Mémoire industriel</v>
      </c>
      <c r="E56" s="112">
        <f t="shared" si="5"/>
        <v>28</v>
      </c>
      <c r="F56" s="111" t="s">
        <v>95</v>
      </c>
      <c r="G56" s="113">
        <f t="shared" si="5"/>
        <v>20</v>
      </c>
      <c r="H56" s="194"/>
      <c r="I56" s="195">
        <v>0</v>
      </c>
      <c r="J56" s="30"/>
      <c r="L56" s="176">
        <f>(H56*1.5)+(J56/1.5)+I56</f>
        <v>0</v>
      </c>
      <c r="N56">
        <f>'MAQUETTE MS PARCOURS PCTM'!L14</f>
        <v>0</v>
      </c>
      <c r="O56" s="189">
        <f t="shared" si="16"/>
        <v>0</v>
      </c>
    </row>
    <row r="57" spans="1:15" ht="15" customHeight="1" thickBot="1">
      <c r="A57" s="136"/>
      <c r="B57" s="137" t="s">
        <v>24</v>
      </c>
      <c r="C57" s="138" t="s">
        <v>91</v>
      </c>
      <c r="D57" s="138" t="s">
        <v>91</v>
      </c>
      <c r="E57" s="139">
        <f t="shared" si="5"/>
        <v>42</v>
      </c>
      <c r="F57" s="138" t="s">
        <v>91</v>
      </c>
      <c r="G57" s="140"/>
      <c r="H57" s="141">
        <f>SUM(H52:H56)</f>
        <v>0</v>
      </c>
      <c r="I57" s="182">
        <f>SUM(I52:I56)</f>
        <v>192</v>
      </c>
      <c r="J57" s="181">
        <f>SUM(J52:J56)</f>
        <v>0</v>
      </c>
      <c r="L57" s="177">
        <f>SUM(L52:L56)</f>
        <v>192</v>
      </c>
      <c r="N57" s="191">
        <f>SUM(N52:N56)</f>
        <v>192</v>
      </c>
      <c r="O57" s="192">
        <f>SUM(O52:O56)</f>
        <v>192</v>
      </c>
    </row>
    <row r="58" spans="1:15" ht="15" customHeight="1" thickBot="1">
      <c r="A58" s="1"/>
      <c r="B58" s="1"/>
      <c r="C58" s="1"/>
      <c r="D58" s="1"/>
      <c r="E58" s="1"/>
      <c r="F58" s="1"/>
      <c r="G58" s="1"/>
      <c r="H58" s="229">
        <f>SUM(H57:J57)</f>
        <v>192</v>
      </c>
      <c r="I58" s="230"/>
      <c r="J58" s="231"/>
      <c r="K58" s="190" t="s">
        <v>51</v>
      </c>
      <c r="L58" s="186">
        <f>SUM(L45+L57)</f>
        <v>407</v>
      </c>
    </row>
    <row r="59" spans="1:15" ht="15" customHeight="1" thickBot="1"/>
    <row r="60" spans="1:15" ht="15" customHeight="1" thickBot="1">
      <c r="K60" s="49" t="s">
        <v>52</v>
      </c>
      <c r="L60" s="188">
        <f>L29+L58</f>
        <v>876.66666666666663</v>
      </c>
      <c r="N60" s="191">
        <f>SUM(N57,N45,N28,N14)</f>
        <v>842</v>
      </c>
      <c r="O60" s="192">
        <f>SUM(O57,O45,O28,O14)</f>
        <v>858</v>
      </c>
    </row>
  </sheetData>
  <mergeCells count="24">
    <mergeCell ref="L49:L51"/>
    <mergeCell ref="A50:G50"/>
    <mergeCell ref="H58:J58"/>
    <mergeCell ref="A31:D31"/>
    <mergeCell ref="A32:D32"/>
    <mergeCell ref="A34:G34"/>
    <mergeCell ref="H34:J35"/>
    <mergeCell ref="H46:J46"/>
    <mergeCell ref="A49:G49"/>
    <mergeCell ref="H49:J50"/>
    <mergeCell ref="L34:L36"/>
    <mergeCell ref="A35:G35"/>
    <mergeCell ref="L4:L6"/>
    <mergeCell ref="A5:G5"/>
    <mergeCell ref="H29:J29"/>
    <mergeCell ref="A1:D1"/>
    <mergeCell ref="A2:D2"/>
    <mergeCell ref="A4:G4"/>
    <mergeCell ref="H4:J5"/>
    <mergeCell ref="H15:J15"/>
    <mergeCell ref="A17:G17"/>
    <mergeCell ref="H17:J18"/>
    <mergeCell ref="L17:L19"/>
    <mergeCell ref="A18:G18"/>
  </mergeCells>
  <conditionalFormatting sqref="E2:J3">
    <cfRule type="cellIs" dxfId="3" priority="3" operator="greaterThan">
      <formula>0.4</formula>
    </cfRule>
    <cfRule type="cellIs" dxfId="2" priority="4" operator="greaterThan">
      <formula>40</formula>
    </cfRule>
  </conditionalFormatting>
  <conditionalFormatting sqref="E32:J32">
    <cfRule type="cellIs" dxfId="1" priority="1" operator="greaterThan">
      <formula>0.4</formula>
    </cfRule>
    <cfRule type="cellIs" dxfId="0" priority="2" operator="greaterThan">
      <formula>40</formula>
    </cfRule>
  </conditionalFormatting>
  <pageMargins left="0.7" right="0.7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O25"/>
  <sheetViews>
    <sheetView topLeftCell="A9" zoomScale="70" zoomScaleNormal="70" workbookViewId="0">
      <selection activeCell="M16" sqref="M16"/>
    </sheetView>
  </sheetViews>
  <sheetFormatPr baseColWidth="10" defaultRowHeight="15"/>
  <cols>
    <col min="1" max="1" width="21.85546875" customWidth="1"/>
    <col min="2" max="2" width="20.5703125" customWidth="1"/>
    <col min="3" max="3" width="43.5703125" customWidth="1"/>
    <col min="4" max="4" width="26.140625" customWidth="1"/>
    <col min="14" max="14" width="15" bestFit="1" customWidth="1"/>
  </cols>
  <sheetData>
    <row r="1" spans="1:15" ht="15.75" thickBot="1"/>
    <row r="2" spans="1:15" ht="129" customHeight="1" thickBot="1">
      <c r="A2" s="249" t="s">
        <v>112</v>
      </c>
      <c r="B2" s="250"/>
      <c r="C2" s="250"/>
      <c r="D2" s="250"/>
      <c r="E2" s="251"/>
      <c r="F2" s="117" t="str">
        <f>_xlfn.CONCAT("ECUE 1.11 ", 'MAQUETTE MS PARCOURS PCTM'!B3)</f>
        <v xml:space="preserve">ECUE 1.11 Introduction aux innovations sociétales </v>
      </c>
      <c r="G2" s="117" t="str">
        <f>_xlfn.CONCAT("ECUE 1.12 ", 'MAQUETTE MS PARCOURS PCTM'!B4)</f>
        <v>ECUE 1.12 Innovation et RSE</v>
      </c>
      <c r="H2" s="117" t="str">
        <f>_xlfn.CONCAT("ECUE 1.13 ",'MAQUETTE MS PARCOURS PCTM'!B5)</f>
        <v>ECUE 1.13 Propriété intellectuelle</v>
      </c>
      <c r="I2" s="117" t="str">
        <f>_xlfn.CONCAT("ECUE 2.11 ",'MAQUETTE MS PARCOURS PCTM'!B8)</f>
        <v>ECUE 2.11 Smart modelisation</v>
      </c>
      <c r="J2" s="117" t="str">
        <f>_xlfn.CONCAT("ECUE 2.12 ",'MAQUETTE MS PARCOURS PCTM'!B9)</f>
        <v>ECUE 2.12 Intelligence artificielle pour l'innovation</v>
      </c>
      <c r="K2" s="117" t="str">
        <f>_xlfn.CONCAT("ECUE 3.11 ",'MAQUETTE MS PARCOURS PCTM'!B13)</f>
        <v>ECUE 3.11 Acquisition des bases Design</v>
      </c>
      <c r="L2" s="117" t="str">
        <f>_xlfn.CONCAT("ECUE 3.12 ",'MAQUETTE MS PARCOURS PCTM'!B14)</f>
        <v>ECUE 3.12 Modélisation avancée du prototype</v>
      </c>
      <c r="M2" s="120"/>
      <c r="N2" s="114"/>
      <c r="O2" s="115"/>
    </row>
    <row r="3" spans="1:15" ht="15.75" thickBot="1">
      <c r="A3" s="252"/>
      <c r="B3" s="253"/>
      <c r="C3" s="253"/>
      <c r="D3" s="253"/>
      <c r="E3" s="254"/>
      <c r="F3" s="116">
        <v>8</v>
      </c>
      <c r="G3" s="116">
        <v>20</v>
      </c>
      <c r="H3" s="116">
        <v>8</v>
      </c>
      <c r="I3" s="118">
        <v>50</v>
      </c>
      <c r="J3" s="118">
        <v>14</v>
      </c>
      <c r="K3" s="116">
        <v>30</v>
      </c>
      <c r="L3" s="116">
        <v>100</v>
      </c>
      <c r="M3" s="67"/>
      <c r="N3" s="39">
        <f>SUM(F3:M3)</f>
        <v>230</v>
      </c>
      <c r="O3" s="40"/>
    </row>
    <row r="4" spans="1:15" ht="16.5" thickBot="1">
      <c r="A4" s="255"/>
      <c r="B4" s="254"/>
      <c r="C4" s="254"/>
      <c r="D4" s="254"/>
      <c r="E4" s="256"/>
      <c r="F4" s="257"/>
      <c r="G4" s="257"/>
      <c r="H4" s="257"/>
      <c r="I4" s="257"/>
      <c r="J4" s="257"/>
      <c r="K4" s="257"/>
      <c r="L4" s="257"/>
      <c r="M4" s="257"/>
      <c r="N4" s="41" t="s">
        <v>25</v>
      </c>
      <c r="O4" s="41" t="s">
        <v>2</v>
      </c>
    </row>
    <row r="5" spans="1:15">
      <c r="A5" s="143" t="s">
        <v>26</v>
      </c>
      <c r="B5" s="144"/>
      <c r="C5" s="145" t="s">
        <v>97</v>
      </c>
      <c r="D5" s="145" t="s">
        <v>27</v>
      </c>
      <c r="E5" s="146" t="s">
        <v>28</v>
      </c>
      <c r="F5" s="78">
        <v>1</v>
      </c>
      <c r="G5" s="78">
        <v>3</v>
      </c>
      <c r="H5" s="78">
        <v>1</v>
      </c>
      <c r="I5" s="78"/>
      <c r="J5" s="78"/>
      <c r="K5" s="78"/>
      <c r="L5" s="78"/>
      <c r="M5" s="78"/>
      <c r="N5" s="42">
        <f>SUM(F5:M5)</f>
        <v>5</v>
      </c>
      <c r="O5" s="42">
        <f t="shared" ref="O5:O8" si="0">N5</f>
        <v>5</v>
      </c>
    </row>
    <row r="6" spans="1:15">
      <c r="A6" s="157" t="s">
        <v>29</v>
      </c>
      <c r="B6" s="158"/>
      <c r="C6" s="159" t="s">
        <v>98</v>
      </c>
      <c r="D6" s="159" t="s">
        <v>98</v>
      </c>
      <c r="E6" s="160" t="s">
        <v>30</v>
      </c>
      <c r="F6" s="79"/>
      <c r="G6" s="79"/>
      <c r="H6" s="79"/>
      <c r="I6" s="79">
        <v>8</v>
      </c>
      <c r="J6" s="79">
        <v>2</v>
      </c>
      <c r="K6" s="79"/>
      <c r="L6" s="79"/>
      <c r="M6" s="79"/>
      <c r="N6" s="43">
        <f>SUM(F6:M6)</f>
        <v>10</v>
      </c>
      <c r="O6" s="43">
        <f t="shared" si="0"/>
        <v>10</v>
      </c>
    </row>
    <row r="7" spans="1:15" ht="15.75" thickBot="1">
      <c r="A7" s="147" t="s">
        <v>31</v>
      </c>
      <c r="B7" s="148"/>
      <c r="C7" s="149" t="s">
        <v>99</v>
      </c>
      <c r="D7" s="149" t="s">
        <v>99</v>
      </c>
      <c r="E7" s="150" t="s">
        <v>32</v>
      </c>
      <c r="F7" s="79"/>
      <c r="G7" s="79"/>
      <c r="H7" s="79"/>
      <c r="I7" s="79"/>
      <c r="J7" s="79"/>
      <c r="K7" s="79">
        <v>4</v>
      </c>
      <c r="L7" s="79">
        <v>11</v>
      </c>
      <c r="M7" s="79"/>
      <c r="N7" s="43">
        <f>SUM(F7:M7)</f>
        <v>15</v>
      </c>
      <c r="O7" s="43">
        <f t="shared" si="0"/>
        <v>15</v>
      </c>
    </row>
    <row r="8" spans="1:15" ht="15.75" thickBot="1">
      <c r="F8" s="44">
        <f t="shared" ref="F8:N8" si="1">SUM(F5:F7)</f>
        <v>1</v>
      </c>
      <c r="G8" s="44">
        <f t="shared" si="1"/>
        <v>3</v>
      </c>
      <c r="H8" s="44">
        <f t="shared" si="1"/>
        <v>1</v>
      </c>
      <c r="I8" s="44">
        <f t="shared" si="1"/>
        <v>8</v>
      </c>
      <c r="J8" s="44">
        <f t="shared" si="1"/>
        <v>2</v>
      </c>
      <c r="K8" s="44">
        <f t="shared" si="1"/>
        <v>4</v>
      </c>
      <c r="L8" s="44">
        <f t="shared" si="1"/>
        <v>11</v>
      </c>
      <c r="M8" s="44">
        <f t="shared" si="1"/>
        <v>0</v>
      </c>
      <c r="N8" s="45">
        <f t="shared" si="1"/>
        <v>30</v>
      </c>
      <c r="O8" s="46">
        <f t="shared" si="0"/>
        <v>30</v>
      </c>
    </row>
    <row r="9" spans="1:15">
      <c r="F9" s="47"/>
      <c r="G9" s="47"/>
      <c r="H9" s="47"/>
      <c r="I9" s="47"/>
      <c r="J9" s="47"/>
      <c r="K9" s="47"/>
      <c r="L9" s="47"/>
      <c r="M9" s="47"/>
      <c r="N9" s="48"/>
      <c r="O9" s="48"/>
    </row>
    <row r="10" spans="1:15" ht="30" customHeight="1">
      <c r="A10" s="151" t="s">
        <v>33</v>
      </c>
      <c r="B10" s="151"/>
      <c r="C10" s="152" t="s">
        <v>127</v>
      </c>
      <c r="D10" s="153" t="s">
        <v>34</v>
      </c>
      <c r="F10" s="47"/>
      <c r="G10" s="47"/>
      <c r="H10" s="47"/>
      <c r="I10" s="47"/>
      <c r="J10" s="47"/>
      <c r="K10" s="47"/>
      <c r="L10" s="47"/>
      <c r="M10" s="47"/>
      <c r="N10" s="48"/>
      <c r="O10" s="48"/>
    </row>
    <row r="11" spans="1:15" ht="30" customHeight="1">
      <c r="A11" s="161" t="s">
        <v>35</v>
      </c>
      <c r="B11" s="161"/>
      <c r="C11" s="162" t="s">
        <v>100</v>
      </c>
      <c r="D11" s="163" t="s">
        <v>100</v>
      </c>
      <c r="F11" s="47"/>
      <c r="G11" s="47"/>
      <c r="H11" s="47"/>
      <c r="I11" s="47"/>
      <c r="J11" s="47"/>
      <c r="K11" s="47"/>
      <c r="L11" s="47"/>
      <c r="M11" s="47"/>
      <c r="N11" s="48"/>
      <c r="O11" s="48"/>
    </row>
    <row r="12" spans="1:15" ht="30" customHeight="1">
      <c r="A12" s="154" t="s">
        <v>36</v>
      </c>
      <c r="B12" s="154"/>
      <c r="C12" s="155" t="s">
        <v>101</v>
      </c>
      <c r="D12" s="156" t="s">
        <v>101</v>
      </c>
      <c r="F12" s="47"/>
      <c r="G12" s="47"/>
      <c r="H12" s="47"/>
      <c r="I12" s="47"/>
      <c r="J12" s="47"/>
      <c r="K12" s="47"/>
      <c r="L12" s="47"/>
      <c r="M12" s="47"/>
      <c r="N12" s="48"/>
      <c r="O12" s="48"/>
    </row>
    <row r="13" spans="1:15">
      <c r="F13" s="47"/>
      <c r="G13" s="47"/>
      <c r="H13" s="47"/>
      <c r="I13" s="47"/>
      <c r="J13" s="47"/>
      <c r="K13" s="47"/>
      <c r="L13" s="47"/>
      <c r="M13" s="47"/>
      <c r="N13" s="48"/>
      <c r="O13" s="48"/>
    </row>
    <row r="14" spans="1:15" ht="15.75" thickBot="1">
      <c r="F14" s="47"/>
      <c r="G14" s="47"/>
      <c r="H14" s="47"/>
      <c r="I14" s="47"/>
      <c r="J14" s="47"/>
      <c r="K14" s="47"/>
      <c r="L14" s="47"/>
      <c r="M14" s="47"/>
      <c r="N14" s="48"/>
      <c r="O14" s="48"/>
    </row>
    <row r="15" spans="1:15" ht="130.9" customHeight="1" thickBot="1">
      <c r="A15" s="249" t="s">
        <v>111</v>
      </c>
      <c r="B15" s="250"/>
      <c r="C15" s="250"/>
      <c r="D15" s="250"/>
      <c r="E15" s="251"/>
      <c r="F15" s="119" t="str">
        <f>_xlfn.CONCAT("ECUE 1.21 ",'MAQUETTE MS PARCOURS PCTM'!E3)</f>
        <v>ECUE 1.21 Gestion de projet</v>
      </c>
      <c r="G15" s="119" t="str">
        <f>_xlfn.CONCAT("ECUE 1.22 ",'MAQUETTE MS PARCOURS PCTM'!E4)</f>
        <v>ECUE 1.22 Communication professionnelle</v>
      </c>
      <c r="H15" s="119" t="str">
        <f>_xlfn.CONCAT("ECUE 1.23 ",'MAQUETTE MS PARCOURS PCTM'!E5)</f>
        <v>ECUE 1.23 Marathon  : projet industriel 1</v>
      </c>
      <c r="I15" s="119" t="str">
        <f>_xlfn.CONCAT("ECUE 2.21 ",'MAQUETTE MS PARCOURS PCTM'!E8)</f>
        <v>ECUE 2.21 Innovation : partie puissance</v>
      </c>
      <c r="J15" s="119" t="str">
        <f>_xlfn.CONCAT("ECUE 2.22 ",'MAQUETTE MS PARCOURS PCTM'!E9)</f>
        <v>ECUE 2.22 Innovation : partie commande</v>
      </c>
      <c r="K15" s="119" t="str">
        <f>_xlfn.CONCAT("ECUE 2.23 ",'MAQUETTE MS PARCOURS PCTM'!E10)</f>
        <v>ECUE 2.23 Marathon  : projet industriel 2</v>
      </c>
      <c r="L15" s="119" t="str">
        <f>_xlfn.CONCAT("ECUE 3.21 ",'MAQUETTE MS PARCOURS PCTM'!E13)</f>
        <v>ECUE 3.21 Fast Prototypage</v>
      </c>
      <c r="M15" s="119" t="str">
        <f>_xlfn.CONCAT("ECUE 3.22 ",'MAQUETTE MS PARCOURS PCTM'!E14)</f>
        <v>ECUE 3.22 Marathon  : projet industriel 3</v>
      </c>
      <c r="N15" s="123"/>
      <c r="O15" s="37"/>
    </row>
    <row r="16" spans="1:15" ht="15" customHeight="1" thickBot="1">
      <c r="A16" s="252"/>
      <c r="B16" s="253"/>
      <c r="C16" s="253"/>
      <c r="D16" s="253"/>
      <c r="E16" s="254"/>
      <c r="F16" s="38">
        <v>16</v>
      </c>
      <c r="G16" s="38">
        <v>8</v>
      </c>
      <c r="H16" s="38">
        <v>20</v>
      </c>
      <c r="I16" s="38">
        <v>36</v>
      </c>
      <c r="J16" s="38">
        <v>40</v>
      </c>
      <c r="K16" s="38">
        <v>40</v>
      </c>
      <c r="L16" s="38">
        <v>60</v>
      </c>
      <c r="M16" s="38">
        <v>40</v>
      </c>
      <c r="N16" s="39">
        <f>SUM(F16:M16)</f>
        <v>260</v>
      </c>
      <c r="O16" s="124"/>
    </row>
    <row r="17" spans="1:15" ht="15" customHeight="1" thickBot="1">
      <c r="A17" s="255"/>
      <c r="B17" s="254"/>
      <c r="C17" s="254"/>
      <c r="D17" s="254"/>
      <c r="E17" s="256"/>
      <c r="F17" s="258"/>
      <c r="G17" s="258"/>
      <c r="H17" s="258"/>
      <c r="I17" s="258"/>
      <c r="J17" s="258"/>
      <c r="K17" s="258"/>
      <c r="L17" s="258"/>
      <c r="M17" s="258"/>
      <c r="N17" s="41" t="s">
        <v>25</v>
      </c>
      <c r="O17" s="41" t="s">
        <v>2</v>
      </c>
    </row>
    <row r="18" spans="1:15">
      <c r="A18" s="143" t="s">
        <v>26</v>
      </c>
      <c r="B18" s="144"/>
      <c r="C18" s="145" t="s">
        <v>102</v>
      </c>
      <c r="D18" s="145" t="s">
        <v>37</v>
      </c>
      <c r="E18" s="168" t="s">
        <v>38</v>
      </c>
      <c r="F18" s="78">
        <v>2</v>
      </c>
      <c r="G18" s="78">
        <v>1</v>
      </c>
      <c r="H18" s="78">
        <v>2</v>
      </c>
      <c r="I18" s="78"/>
      <c r="J18" s="78"/>
      <c r="K18" s="78"/>
      <c r="L18" s="78"/>
      <c r="M18" s="78"/>
      <c r="N18" s="68">
        <f>SUM(F18:M18)</f>
        <v>5</v>
      </c>
      <c r="O18" s="68">
        <f t="shared" ref="O18:O21" si="2">N18</f>
        <v>5</v>
      </c>
    </row>
    <row r="19" spans="1:15">
      <c r="A19" s="157" t="s">
        <v>29</v>
      </c>
      <c r="B19" s="158"/>
      <c r="C19" s="159" t="s">
        <v>103</v>
      </c>
      <c r="D19" s="159" t="s">
        <v>103</v>
      </c>
      <c r="E19" s="169" t="s">
        <v>39</v>
      </c>
      <c r="F19" s="79"/>
      <c r="G19" s="79"/>
      <c r="H19" s="79"/>
      <c r="I19" s="79">
        <v>5</v>
      </c>
      <c r="J19" s="79">
        <v>5</v>
      </c>
      <c r="K19" s="79">
        <v>5</v>
      </c>
      <c r="L19" s="79"/>
      <c r="M19" s="79"/>
      <c r="N19" s="69">
        <f>SUM(F19:M19)</f>
        <v>15</v>
      </c>
      <c r="O19" s="69">
        <f t="shared" si="2"/>
        <v>15</v>
      </c>
    </row>
    <row r="20" spans="1:15" ht="15.75" thickBot="1">
      <c r="A20" s="147" t="s">
        <v>31</v>
      </c>
      <c r="B20" s="148"/>
      <c r="C20" s="149" t="s">
        <v>104</v>
      </c>
      <c r="D20" s="149" t="s">
        <v>104</v>
      </c>
      <c r="E20" s="170" t="s">
        <v>40</v>
      </c>
      <c r="F20" s="166"/>
      <c r="G20" s="166"/>
      <c r="H20" s="166"/>
      <c r="I20" s="166"/>
      <c r="J20" s="166"/>
      <c r="K20" s="166"/>
      <c r="L20" s="166">
        <v>5</v>
      </c>
      <c r="M20" s="166">
        <v>5</v>
      </c>
      <c r="N20" s="167">
        <f>SUM(F20:M20)</f>
        <v>10</v>
      </c>
      <c r="O20" s="167">
        <f t="shared" si="2"/>
        <v>10</v>
      </c>
    </row>
    <row r="21" spans="1:15" ht="15.75" thickBot="1">
      <c r="F21" s="44">
        <f>SUM(F18:F20)</f>
        <v>2</v>
      </c>
      <c r="G21" s="44">
        <f>SUM(G18:G20)</f>
        <v>1</v>
      </c>
      <c r="H21" s="44"/>
      <c r="I21" s="44">
        <f t="shared" ref="I21:N21" si="3">SUM(I18:I20)</f>
        <v>5</v>
      </c>
      <c r="J21" s="44">
        <f t="shared" si="3"/>
        <v>5</v>
      </c>
      <c r="K21" s="44">
        <f t="shared" si="3"/>
        <v>5</v>
      </c>
      <c r="L21" s="44">
        <f t="shared" si="3"/>
        <v>5</v>
      </c>
      <c r="M21" s="44">
        <f t="shared" si="3"/>
        <v>5</v>
      </c>
      <c r="N21" s="45">
        <f t="shared" si="3"/>
        <v>30</v>
      </c>
      <c r="O21" s="46">
        <f t="shared" si="2"/>
        <v>30</v>
      </c>
    </row>
    <row r="22" spans="1:15">
      <c r="N22" s="70"/>
      <c r="O22" s="70"/>
    </row>
    <row r="23" spans="1:15" ht="30" customHeight="1">
      <c r="A23" s="151" t="s">
        <v>33</v>
      </c>
      <c r="B23" s="151"/>
      <c r="C23" s="152" t="s">
        <v>127</v>
      </c>
      <c r="D23" s="153" t="s">
        <v>34</v>
      </c>
      <c r="N23" s="15">
        <f>SUM(N3+N16)</f>
        <v>490</v>
      </c>
      <c r="O23" s="15">
        <f>SUM(N23/35)</f>
        <v>14</v>
      </c>
    </row>
    <row r="24" spans="1:15" ht="30" customHeight="1">
      <c r="A24" s="161" t="s">
        <v>35</v>
      </c>
      <c r="B24" s="161"/>
      <c r="C24" s="162" t="s">
        <v>100</v>
      </c>
      <c r="D24" s="163" t="s">
        <v>100</v>
      </c>
    </row>
    <row r="25" spans="1:15" ht="30" customHeight="1">
      <c r="A25" s="154" t="s">
        <v>36</v>
      </c>
      <c r="B25" s="154"/>
      <c r="C25" s="155" t="s">
        <v>101</v>
      </c>
      <c r="D25" s="156" t="s">
        <v>101</v>
      </c>
    </row>
  </sheetData>
  <mergeCells count="4">
    <mergeCell ref="A2:E4"/>
    <mergeCell ref="F4:M4"/>
    <mergeCell ref="A15:E17"/>
    <mergeCell ref="F17:M17"/>
  </mergeCells>
  <pageMargins left="0.7" right="0.7" top="0.75" bottom="0.75" header="0.3" footer="0.3"/>
  <pageSetup paperSize="8" scale="53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7424-81BC-454A-A51B-C39F396E9605}">
  <sheetPr>
    <tabColor theme="5" tint="0.79998168889431442"/>
    <pageSetUpPr fitToPage="1"/>
  </sheetPr>
  <dimension ref="A1:O25"/>
  <sheetViews>
    <sheetView topLeftCell="C1" zoomScaleNormal="100" workbookViewId="0">
      <selection activeCell="K10" sqref="K10"/>
    </sheetView>
  </sheetViews>
  <sheetFormatPr baseColWidth="10" defaultRowHeight="15"/>
  <cols>
    <col min="1" max="1" width="21.85546875" customWidth="1"/>
    <col min="2" max="2" width="20.5703125" customWidth="1"/>
    <col min="3" max="3" width="43.5703125" customWidth="1"/>
    <col min="4" max="4" width="26.140625" customWidth="1"/>
    <col min="14" max="14" width="15" bestFit="1" customWidth="1"/>
  </cols>
  <sheetData>
    <row r="1" spans="1:15" ht="15.75" thickBot="1"/>
    <row r="2" spans="1:15" ht="129" customHeight="1" thickBot="1">
      <c r="A2" s="249" t="s">
        <v>112</v>
      </c>
      <c r="B2" s="250"/>
      <c r="C2" s="250"/>
      <c r="D2" s="250"/>
      <c r="E2" s="251"/>
      <c r="F2" s="117" t="str">
        <f>_xlfn.CONCAT("ECUE 1.31 ",'MAQUETTE MS PARCOURS PCTM'!H3)</f>
        <v>ECUE 1.31 Ergonomie de produits</v>
      </c>
      <c r="G2" s="117" t="str">
        <f>_xlfn.CONCAT("ECUE 1.32 ",'MAQUETTE MS PARCOURS PCTM'!H4)</f>
        <v>ECUE 1.32 Méthodologie de l'innovation</v>
      </c>
      <c r="H2" s="117" t="str">
        <f>_xlfn.CONCAT("ECUE 2.31 ",'MAQUETTE MS PARCOURS PCTM'!H8)</f>
        <v>ECUE 2.31 Smart modélisation</v>
      </c>
      <c r="I2" s="117" t="str">
        <f>_xlfn.CONCAT("ECUE 2.32 ",'MAQUETTE MS PARCOURS PCTM'!H9)</f>
        <v>ECUE 2.32 Smart Commande et pilotage</v>
      </c>
      <c r="J2" s="117" t="str">
        <f>_xlfn.CONCAT("ECUE 2.33 ",'MAQUETTE MS PARCOURS PCTM'!H10)</f>
        <v>ECUE 2.33 Smart matériaux</v>
      </c>
      <c r="K2" s="213" t="s">
        <v>87</v>
      </c>
      <c r="L2" s="117" t="str">
        <f>_xlfn.CONCAT("ECUE 3.31 ",'MAQUETTE MS PARCOURS PCTM'!H13)</f>
        <v>ECUE 3.31 Renforcement du design</v>
      </c>
      <c r="M2" s="117" t="str">
        <f>_xlfn.CONCAT("ECUE 3.32 ",'MAQUETTE MS PARCOURS PCTM'!H14)</f>
        <v>ECUE 3.32 Marathon  : projet industriel 5</v>
      </c>
      <c r="N2" s="123"/>
      <c r="O2" s="125"/>
    </row>
    <row r="3" spans="1:15" ht="16.5" thickBot="1">
      <c r="A3" s="252"/>
      <c r="B3" s="253"/>
      <c r="C3" s="253"/>
      <c r="D3" s="253"/>
      <c r="E3" s="254"/>
      <c r="F3" s="121">
        <v>8</v>
      </c>
      <c r="G3" s="122">
        <v>20</v>
      </c>
      <c r="H3" s="122">
        <v>26</v>
      </c>
      <c r="I3" s="122">
        <v>40</v>
      </c>
      <c r="J3" s="122">
        <v>20</v>
      </c>
      <c r="K3" s="122">
        <v>20</v>
      </c>
      <c r="L3" s="122">
        <v>60</v>
      </c>
      <c r="M3" s="122">
        <v>20</v>
      </c>
      <c r="N3" s="39">
        <f>SUM(F3:M3)</f>
        <v>214</v>
      </c>
      <c r="O3" s="40"/>
    </row>
    <row r="4" spans="1:15" ht="16.5" thickBot="1">
      <c r="A4" s="255"/>
      <c r="B4" s="254"/>
      <c r="C4" s="254"/>
      <c r="D4" s="254"/>
      <c r="E4" s="256"/>
      <c r="F4" s="257"/>
      <c r="G4" s="257"/>
      <c r="H4" s="257"/>
      <c r="I4" s="257"/>
      <c r="J4" s="257"/>
      <c r="K4" s="257"/>
      <c r="L4" s="257"/>
      <c r="M4" s="257"/>
      <c r="N4" s="41" t="s">
        <v>25</v>
      </c>
      <c r="O4" s="41" t="s">
        <v>2</v>
      </c>
    </row>
    <row r="5" spans="1:15">
      <c r="A5" s="143" t="s">
        <v>26</v>
      </c>
      <c r="B5" s="144"/>
      <c r="C5" s="145" t="s">
        <v>105</v>
      </c>
      <c r="D5" s="145" t="s">
        <v>41</v>
      </c>
      <c r="E5" s="146" t="s">
        <v>42</v>
      </c>
      <c r="F5" s="78">
        <v>2</v>
      </c>
      <c r="G5" s="78">
        <v>3</v>
      </c>
      <c r="H5" s="78"/>
      <c r="I5" s="78"/>
      <c r="J5" s="78"/>
      <c r="K5" s="78"/>
      <c r="L5" s="78"/>
      <c r="M5" s="78"/>
      <c r="N5" s="42">
        <f>SUM(F5:M5)</f>
        <v>5</v>
      </c>
      <c r="O5" s="42">
        <f t="shared" ref="O5:O8" si="0">N5</f>
        <v>5</v>
      </c>
    </row>
    <row r="6" spans="1:15">
      <c r="A6" s="157" t="s">
        <v>29</v>
      </c>
      <c r="B6" s="158"/>
      <c r="C6" s="159" t="s">
        <v>106</v>
      </c>
      <c r="D6" s="159" t="s">
        <v>106</v>
      </c>
      <c r="E6" s="160" t="s">
        <v>43</v>
      </c>
      <c r="F6" s="79"/>
      <c r="G6" s="79"/>
      <c r="H6" s="79">
        <v>2</v>
      </c>
      <c r="I6" s="79">
        <v>5</v>
      </c>
      <c r="J6" s="79">
        <v>2</v>
      </c>
      <c r="K6" s="79">
        <v>5</v>
      </c>
      <c r="L6" s="79"/>
      <c r="M6" s="79"/>
      <c r="N6" s="43">
        <f>SUM(F6:M6)</f>
        <v>14</v>
      </c>
      <c r="O6" s="43">
        <f t="shared" si="0"/>
        <v>14</v>
      </c>
    </row>
    <row r="7" spans="1:15" ht="15.75" thickBot="1">
      <c r="A7" s="147" t="s">
        <v>31</v>
      </c>
      <c r="B7" s="148"/>
      <c r="C7" s="149" t="s">
        <v>107</v>
      </c>
      <c r="D7" s="149" t="s">
        <v>107</v>
      </c>
      <c r="E7" s="150" t="s">
        <v>44</v>
      </c>
      <c r="F7" s="79"/>
      <c r="G7" s="79"/>
      <c r="H7" s="79"/>
      <c r="I7" s="79"/>
      <c r="J7" s="79"/>
      <c r="K7" s="79"/>
      <c r="L7" s="79">
        <v>6</v>
      </c>
      <c r="M7" s="79">
        <v>5</v>
      </c>
      <c r="N7" s="43">
        <f>SUM(F7:M7)</f>
        <v>11</v>
      </c>
      <c r="O7" s="43">
        <f t="shared" si="0"/>
        <v>11</v>
      </c>
    </row>
    <row r="8" spans="1:15" ht="15.75" thickBot="1">
      <c r="F8" s="44">
        <f t="shared" ref="F8:N8" si="1">SUM(F5:F7)</f>
        <v>2</v>
      </c>
      <c r="G8" s="44">
        <f t="shared" si="1"/>
        <v>3</v>
      </c>
      <c r="H8" s="44">
        <f t="shared" si="1"/>
        <v>2</v>
      </c>
      <c r="I8" s="44">
        <f t="shared" si="1"/>
        <v>5</v>
      </c>
      <c r="J8" s="44">
        <f t="shared" si="1"/>
        <v>2</v>
      </c>
      <c r="K8" s="44">
        <f t="shared" si="1"/>
        <v>5</v>
      </c>
      <c r="L8" s="44">
        <f t="shared" si="1"/>
        <v>6</v>
      </c>
      <c r="M8" s="44">
        <f t="shared" si="1"/>
        <v>5</v>
      </c>
      <c r="N8" s="45">
        <f t="shared" si="1"/>
        <v>30</v>
      </c>
      <c r="O8" s="46">
        <f t="shared" si="0"/>
        <v>30</v>
      </c>
    </row>
    <row r="9" spans="1:15">
      <c r="F9" s="47"/>
      <c r="G9" s="47"/>
      <c r="H9" s="47"/>
      <c r="I9" s="47"/>
      <c r="J9" s="47"/>
      <c r="K9" s="47"/>
      <c r="L9" s="47"/>
      <c r="M9" s="47"/>
      <c r="N9" s="48"/>
      <c r="O9" s="48"/>
    </row>
    <row r="10" spans="1:15" ht="30" customHeight="1">
      <c r="A10" s="151" t="s">
        <v>33</v>
      </c>
      <c r="B10" s="151"/>
      <c r="C10" s="152" t="s">
        <v>127</v>
      </c>
      <c r="D10" s="153" t="s">
        <v>34</v>
      </c>
      <c r="F10" s="47"/>
      <c r="G10" s="47"/>
      <c r="H10" s="47"/>
      <c r="I10" s="47"/>
      <c r="J10" s="47"/>
      <c r="K10" s="47"/>
      <c r="L10" s="47"/>
      <c r="M10" s="47"/>
      <c r="N10" s="48"/>
      <c r="O10" s="48"/>
    </row>
    <row r="11" spans="1:15" ht="30" customHeight="1">
      <c r="A11" s="161" t="s">
        <v>35</v>
      </c>
      <c r="B11" s="161"/>
      <c r="C11" s="162" t="s">
        <v>100</v>
      </c>
      <c r="D11" s="163" t="s">
        <v>100</v>
      </c>
      <c r="F11" s="47"/>
      <c r="G11" s="47"/>
      <c r="H11" s="47"/>
      <c r="I11" s="47"/>
      <c r="J11" s="47"/>
      <c r="K11" s="47"/>
      <c r="L11" s="47"/>
      <c r="M11" s="47"/>
      <c r="N11" s="48"/>
      <c r="O11" s="48"/>
    </row>
    <row r="12" spans="1:15" ht="30" customHeight="1">
      <c r="A12" s="154" t="s">
        <v>36</v>
      </c>
      <c r="B12" s="154"/>
      <c r="C12" s="155" t="s">
        <v>101</v>
      </c>
      <c r="D12" s="156" t="s">
        <v>101</v>
      </c>
      <c r="F12" s="47"/>
      <c r="G12" s="47"/>
      <c r="H12" s="47"/>
      <c r="I12" s="47"/>
      <c r="J12" s="47"/>
      <c r="K12" s="47"/>
      <c r="L12" s="47"/>
      <c r="M12" s="47"/>
      <c r="N12" s="48"/>
      <c r="O12" s="48"/>
    </row>
    <row r="13" spans="1:15">
      <c r="F13" s="47"/>
      <c r="G13" s="47"/>
      <c r="H13" s="47"/>
      <c r="I13" s="47"/>
      <c r="J13" s="47"/>
      <c r="K13" s="47"/>
      <c r="L13" s="47"/>
      <c r="M13" s="47"/>
      <c r="N13" s="48"/>
      <c r="O13" s="48"/>
    </row>
    <row r="14" spans="1:15" ht="15.75" thickBot="1">
      <c r="F14" s="47"/>
      <c r="G14" s="47"/>
      <c r="H14" s="47"/>
      <c r="I14" s="47"/>
      <c r="J14" s="47"/>
      <c r="K14" s="47"/>
      <c r="L14" s="47"/>
      <c r="M14" s="47"/>
      <c r="N14" s="48"/>
      <c r="O14" s="48"/>
    </row>
    <row r="15" spans="1:15" ht="130.9" customHeight="1" thickBot="1">
      <c r="A15" s="249" t="s">
        <v>111</v>
      </c>
      <c r="B15" s="250"/>
      <c r="C15" s="250"/>
      <c r="D15" s="250"/>
      <c r="E15" s="251"/>
      <c r="F15" s="119" t="str">
        <f>_xlfn.CONCAT("ECUE 1.41 ",'MAQUETTE MS PARCOURS PCTM'!K3)</f>
        <v>ECUE 1.41 Initiation à l'entrepreneuriat</v>
      </c>
      <c r="G15" s="119" t="str">
        <f>_xlfn.CONCAT("ECUE 1.42 ",'MAQUETTE MS PARCOURS PCTM'!K4)</f>
        <v>ECUE 1.42 Marathon  : projet industriel 6</v>
      </c>
      <c r="H15" s="119" t="str">
        <f>_xlfn.CONCAT("ECUE 2.41 ",'MAQUETTE MS PARCOURS PCTM'!K8)</f>
        <v>ECUE 2.41 Marathon  : projet industriel 7</v>
      </c>
      <c r="I15" s="119" t="str">
        <f>_xlfn.CONCAT("ECUE 3.41 ", 'MAQUETTE MS PARCOURS PCTM'!K13)</f>
        <v>ECUE 3.41 Marathon  : projet industriel 8</v>
      </c>
      <c r="J15" s="119" t="str">
        <f>_xlfn.CONCAT("ECUE 3.42 ", 'MAQUETTE MS PARCOURS PCTM'!K14)</f>
        <v>ECUE 3.42 Mémoire industriel</v>
      </c>
      <c r="K15" s="119"/>
      <c r="L15" s="119"/>
      <c r="M15" s="119"/>
      <c r="N15" s="123"/>
      <c r="O15" s="37"/>
    </row>
    <row r="16" spans="1:15" ht="15" customHeight="1" thickBot="1">
      <c r="A16" s="252"/>
      <c r="B16" s="253"/>
      <c r="C16" s="253"/>
      <c r="D16" s="253"/>
      <c r="E16" s="254"/>
      <c r="F16" s="121">
        <v>12</v>
      </c>
      <c r="G16" s="121">
        <v>20</v>
      </c>
      <c r="H16" s="121">
        <v>78</v>
      </c>
      <c r="I16" s="121">
        <v>82</v>
      </c>
      <c r="J16" s="121">
        <v>0</v>
      </c>
      <c r="K16" s="38"/>
      <c r="L16" s="38"/>
      <c r="M16" s="38"/>
      <c r="N16" s="39">
        <f>SUM(F16:M16)</f>
        <v>192</v>
      </c>
      <c r="O16" s="124"/>
    </row>
    <row r="17" spans="1:15" ht="15" customHeight="1" thickBot="1">
      <c r="A17" s="255"/>
      <c r="B17" s="254"/>
      <c r="C17" s="254"/>
      <c r="D17" s="254"/>
      <c r="E17" s="256"/>
      <c r="F17" s="258"/>
      <c r="G17" s="258"/>
      <c r="H17" s="258"/>
      <c r="I17" s="258"/>
      <c r="J17" s="258"/>
      <c r="K17" s="258"/>
      <c r="L17" s="258"/>
      <c r="M17" s="258"/>
      <c r="N17" s="41" t="s">
        <v>25</v>
      </c>
      <c r="O17" s="41" t="s">
        <v>2</v>
      </c>
    </row>
    <row r="18" spans="1:15">
      <c r="A18" s="143" t="s">
        <v>26</v>
      </c>
      <c r="B18" s="144"/>
      <c r="C18" s="145" t="s">
        <v>108</v>
      </c>
      <c r="D18" s="145" t="s">
        <v>45</v>
      </c>
      <c r="E18" s="146" t="s">
        <v>46</v>
      </c>
      <c r="F18" s="78">
        <v>2</v>
      </c>
      <c r="G18" s="78">
        <v>3</v>
      </c>
      <c r="H18" s="78"/>
      <c r="I18" s="78"/>
      <c r="J18" s="78"/>
      <c r="K18" s="78"/>
      <c r="L18" s="78"/>
      <c r="M18" s="78"/>
      <c r="N18" s="68">
        <f>SUM(F18:M18)</f>
        <v>5</v>
      </c>
      <c r="O18" s="68">
        <f t="shared" ref="O18:O21" si="2">N18</f>
        <v>5</v>
      </c>
    </row>
    <row r="19" spans="1:15">
      <c r="A19" s="157" t="s">
        <v>29</v>
      </c>
      <c r="B19" s="158"/>
      <c r="C19" s="159" t="s">
        <v>109</v>
      </c>
      <c r="D19" s="159" t="s">
        <v>109</v>
      </c>
      <c r="E19" s="160" t="s">
        <v>47</v>
      </c>
      <c r="F19" s="79"/>
      <c r="G19" s="79"/>
      <c r="H19" s="79">
        <v>12</v>
      </c>
      <c r="I19" s="79"/>
      <c r="J19" s="79"/>
      <c r="K19" s="79"/>
      <c r="L19" s="79"/>
      <c r="M19" s="79"/>
      <c r="N19" s="69">
        <f>SUM(F19:M19)</f>
        <v>12</v>
      </c>
      <c r="O19" s="69">
        <f t="shared" si="2"/>
        <v>12</v>
      </c>
    </row>
    <row r="20" spans="1:15" ht="15.75" thickBot="1">
      <c r="A20" s="147" t="s">
        <v>31</v>
      </c>
      <c r="B20" s="148"/>
      <c r="C20" s="149" t="s">
        <v>110</v>
      </c>
      <c r="D20" s="149" t="s">
        <v>110</v>
      </c>
      <c r="E20" s="150" t="s">
        <v>48</v>
      </c>
      <c r="F20" s="166"/>
      <c r="G20" s="166"/>
      <c r="H20" s="166"/>
      <c r="I20" s="166">
        <v>13</v>
      </c>
      <c r="J20" s="166"/>
      <c r="K20" s="166"/>
      <c r="L20" s="166"/>
      <c r="M20" s="166"/>
      <c r="N20" s="167">
        <f>SUM(F20:M20)</f>
        <v>13</v>
      </c>
      <c r="O20" s="167">
        <f t="shared" si="2"/>
        <v>13</v>
      </c>
    </row>
    <row r="21" spans="1:15" ht="15.75" thickBot="1">
      <c r="F21" s="44">
        <f>SUM(F18:F20)</f>
        <v>2</v>
      </c>
      <c r="G21" s="44">
        <f>SUM(G18:G20)</f>
        <v>3</v>
      </c>
      <c r="H21" s="44"/>
      <c r="I21" s="44">
        <f t="shared" ref="I21:N21" si="3">SUM(I18:I20)</f>
        <v>13</v>
      </c>
      <c r="J21" s="44">
        <f t="shared" si="3"/>
        <v>0</v>
      </c>
      <c r="K21" s="44">
        <f t="shared" si="3"/>
        <v>0</v>
      </c>
      <c r="L21" s="44">
        <f t="shared" si="3"/>
        <v>0</v>
      </c>
      <c r="M21" s="44">
        <f t="shared" si="3"/>
        <v>0</v>
      </c>
      <c r="N21" s="45">
        <f t="shared" si="3"/>
        <v>30</v>
      </c>
      <c r="O21" s="46">
        <f t="shared" si="2"/>
        <v>30</v>
      </c>
    </row>
    <row r="22" spans="1:15">
      <c r="N22" s="70"/>
      <c r="O22" s="70"/>
    </row>
    <row r="23" spans="1:15" ht="30" customHeight="1">
      <c r="A23" s="151" t="s">
        <v>33</v>
      </c>
      <c r="B23" s="151"/>
      <c r="C23" s="152" t="s">
        <v>127</v>
      </c>
      <c r="D23" s="153" t="s">
        <v>34</v>
      </c>
      <c r="N23" s="15">
        <f>SUM(N3+N16)</f>
        <v>406</v>
      </c>
      <c r="O23" s="15">
        <f>SUM(N23/35)</f>
        <v>11.6</v>
      </c>
    </row>
    <row r="24" spans="1:15" ht="30" customHeight="1">
      <c r="A24" s="161" t="s">
        <v>35</v>
      </c>
      <c r="B24" s="161"/>
      <c r="C24" s="162" t="s">
        <v>100</v>
      </c>
      <c r="D24" s="163" t="s">
        <v>100</v>
      </c>
    </row>
    <row r="25" spans="1:15" ht="30" customHeight="1">
      <c r="A25" s="154" t="s">
        <v>36</v>
      </c>
      <c r="B25" s="154"/>
      <c r="C25" s="155" t="s">
        <v>101</v>
      </c>
      <c r="D25" s="156" t="s">
        <v>101</v>
      </c>
    </row>
  </sheetData>
  <mergeCells count="4">
    <mergeCell ref="A2:E4"/>
    <mergeCell ref="F4:M4"/>
    <mergeCell ref="A15:E17"/>
    <mergeCell ref="F17:M17"/>
  </mergeCells>
  <pageMargins left="0.7" right="0.7" top="0.75" bottom="0.75" header="0.3" footer="0.3"/>
  <pageSetup paperSize="8" scale="5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75B6-EA10-4042-BA26-40957531D18B}">
  <sheetPr>
    <tabColor theme="9" tint="0.59999389629810485"/>
  </sheetPr>
  <dimension ref="A1:C11"/>
  <sheetViews>
    <sheetView workbookViewId="0">
      <selection activeCell="C5" sqref="C5:C11"/>
    </sheetView>
  </sheetViews>
  <sheetFormatPr baseColWidth="10" defaultRowHeight="15"/>
  <cols>
    <col min="1" max="3" width="81.7109375" bestFit="1" customWidth="1"/>
    <col min="4" max="4" width="40.7109375" customWidth="1"/>
  </cols>
  <sheetData>
    <row r="1" spans="1:3" ht="15.75">
      <c r="A1" s="206" t="s">
        <v>0</v>
      </c>
    </row>
    <row r="2" spans="1:3" ht="15.75">
      <c r="A2" s="206" t="s">
        <v>53</v>
      </c>
    </row>
    <row r="3" spans="1:3" ht="15.75">
      <c r="A3" s="208" t="s">
        <v>148</v>
      </c>
    </row>
    <row r="4" spans="1:3">
      <c r="A4" s="207"/>
    </row>
    <row r="5" spans="1:3">
      <c r="A5" s="152" t="s">
        <v>127</v>
      </c>
      <c r="B5" s="162" t="s">
        <v>100</v>
      </c>
      <c r="C5" s="155" t="s">
        <v>101</v>
      </c>
    </row>
    <row r="6" spans="1:3">
      <c r="A6" s="209" t="s">
        <v>140</v>
      </c>
      <c r="B6" s="209" t="s">
        <v>138</v>
      </c>
      <c r="C6" s="209" t="s">
        <v>138</v>
      </c>
    </row>
    <row r="7" spans="1:3">
      <c r="A7" s="209" t="s">
        <v>142</v>
      </c>
      <c r="B7" s="209" t="s">
        <v>139</v>
      </c>
      <c r="C7" s="209" t="s">
        <v>139</v>
      </c>
    </row>
    <row r="8" spans="1:3">
      <c r="A8" s="209" t="s">
        <v>141</v>
      </c>
      <c r="B8" s="214" t="s">
        <v>147</v>
      </c>
      <c r="C8" s="210" t="s">
        <v>147</v>
      </c>
    </row>
    <row r="9" spans="1:3">
      <c r="A9" s="209" t="s">
        <v>143</v>
      </c>
      <c r="B9" s="209" t="s">
        <v>146</v>
      </c>
      <c r="C9" s="209" t="s">
        <v>146</v>
      </c>
    </row>
    <row r="10" spans="1:3">
      <c r="A10" s="209" t="s">
        <v>145</v>
      </c>
      <c r="B10" s="209" t="s">
        <v>144</v>
      </c>
      <c r="C10" s="209" t="s">
        <v>144</v>
      </c>
    </row>
    <row r="11" spans="1:3">
      <c r="A11" s="209"/>
      <c r="B11" s="209" t="s">
        <v>140</v>
      </c>
      <c r="C11" s="209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MAQUETTE MS PARCOURS PCTM</vt:lpstr>
      <vt:lpstr>MAQUETTE APOGEE SIP</vt:lpstr>
      <vt:lpstr>COEF M1 - SIP</vt:lpstr>
      <vt:lpstr>COEF M2- SIP</vt:lpstr>
      <vt:lpstr>RNCP-MAQUETTE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CAMMAN</dc:creator>
  <cp:lastModifiedBy>jean-marc Linares</cp:lastModifiedBy>
  <cp:revision>1</cp:revision>
  <dcterms:created xsi:type="dcterms:W3CDTF">2023-11-01T07:33:26Z</dcterms:created>
  <dcterms:modified xsi:type="dcterms:W3CDTF">2024-12-20T07:44:29Z</dcterms:modified>
</cp:coreProperties>
</file>